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<sst xmlns="http://schemas.openxmlformats.org/spreadsheetml/2006/main" count="2841" uniqueCount="2063">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</sst>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45077</v>
      </c>
      <c r="M6" s="1008"/>
      <c r="N6" s="1033" t="s">
        <v>987</v>
      </c>
      <c r="O6" s="997"/>
      <c r="P6" s="1034">
        <f>OTCHET!F9</f>
        <v>45077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45077</v>
      </c>
      <c r="H9" s="1008"/>
      <c r="I9" s="1058">
        <f>+L4</f>
        <v>2023</v>
      </c>
      <c r="J9" s="1059">
        <f>+L6</f>
        <v>45077</v>
      </c>
      <c r="K9" s="1060"/>
      <c r="L9" s="1061">
        <f>+L6</f>
        <v>45077</v>
      </c>
      <c r="M9" s="1060"/>
      <c r="N9" s="1062">
        <f>+L6</f>
        <v>45077</v>
      </c>
      <c r="O9" s="1063"/>
      <c r="P9" s="1064">
        <f>+L4</f>
        <v>2023</v>
      </c>
      <c r="Q9" s="1062">
        <f>+L6</f>
        <v>45077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13083</v>
      </c>
      <c r="K51" s="1084"/>
      <c r="L51" s="1091">
        <f>+IF($P$2=33,$Q51,0)</f>
        <v>0</v>
      </c>
      <c r="M51" s="1084"/>
      <c r="N51" s="1121">
        <f>+ROUND(+G51+J51+L51,0)</f>
        <v>13083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13083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50339</v>
      </c>
      <c r="K54" s="1084"/>
      <c r="L54" s="1109">
        <f>+IF($P$2=33,$Q54,0)</f>
        <v>0</v>
      </c>
      <c r="M54" s="1084"/>
      <c r="N54" s="1110">
        <f>+ROUND(+G54+J54+L54,0)</f>
        <v>50339</v>
      </c>
      <c r="O54" s="1086"/>
      <c r="P54" s="1108">
        <f>+ROUND(OTCHET!E187+OTCHET!E190,0)</f>
        <v>0</v>
      </c>
      <c r="Q54" s="1109">
        <f>+ROUND(OTCHET!L187+OTCHET!L190,0)</f>
        <v>50339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9852</v>
      </c>
      <c r="K55" s="1084"/>
      <c r="L55" s="1109">
        <f>+IF($P$2=33,$Q55,0)</f>
        <v>0</v>
      </c>
      <c r="M55" s="1084"/>
      <c r="N55" s="1110">
        <f>+ROUND(+G55+J55+L55,0)</f>
        <v>9852</v>
      </c>
      <c r="O55" s="1086"/>
      <c r="P55" s="1108">
        <f>+ROUND(OTCHET!E196+OTCHET!E204,0)</f>
        <v>0</v>
      </c>
      <c r="Q55" s="1109">
        <f>+ROUND(OTCHET!L196+OTCHET!L204,0)</f>
        <v>9852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73550</v>
      </c>
      <c r="K56" s="1084"/>
      <c r="L56" s="1197">
        <f>+ROUND(+SUM(L51:L55),0)</f>
        <v>0</v>
      </c>
      <c r="M56" s="1084"/>
      <c r="N56" s="1198">
        <f>+ROUND(+SUM(N51:N55),0)</f>
        <v>73550</v>
      </c>
      <c r="O56" s="1086"/>
      <c r="P56" s="1196">
        <f>+ROUND(+SUM(P51:P55),0)</f>
        <v>0</v>
      </c>
      <c r="Q56" s="1197">
        <f>+ROUND(+SUM(Q51:Q55),0)</f>
        <v>73550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287060</v>
      </c>
      <c r="K59" s="1084"/>
      <c r="L59" s="1109">
        <f>+IF($P$2=33,$Q59,0)</f>
        <v>0</v>
      </c>
      <c r="M59" s="1084"/>
      <c r="N59" s="1110">
        <f>+ROUND(+G59+J59+L59,0)</f>
        <v>287060</v>
      </c>
      <c r="O59" s="1086"/>
      <c r="P59" s="1108">
        <f>+ROUND(+OTCHET!E275+OTCHET!E276,0)</f>
        <v>0</v>
      </c>
      <c r="Q59" s="1109">
        <f>+ROUND(+OTCHET!L275+OTCHET!L276,0)</f>
        <v>287060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287060</v>
      </c>
      <c r="K63" s="1084"/>
      <c r="L63" s="1197">
        <f>+ROUND(+SUM(L58:L61),0)</f>
        <v>0</v>
      </c>
      <c r="M63" s="1084"/>
      <c r="N63" s="1198">
        <f>+ROUND(+SUM(N58:N61),0)</f>
        <v>287060</v>
      </c>
      <c r="O63" s="1086"/>
      <c r="P63" s="1196">
        <f>+ROUND(+SUM(P58:P61),0)</f>
        <v>0</v>
      </c>
      <c r="Q63" s="1197">
        <f>+ROUND(+SUM(Q58:Q61),0)</f>
        <v>287060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397534</v>
      </c>
      <c r="K77" s="1084"/>
      <c r="L77" s="1222">
        <f>+ROUND(L56+L63+L67+L71+L75,0)</f>
        <v>0</v>
      </c>
      <c r="M77" s="1084"/>
      <c r="N77" s="1223">
        <f>+ROUND(N56+N63+N67+N71+N75,0)</f>
        <v>397534</v>
      </c>
      <c r="O77" s="1086"/>
      <c r="P77" s="1220">
        <f>+ROUND(P56+P63+P67+P71+P75,0)</f>
        <v>0</v>
      </c>
      <c r="Q77" s="1221">
        <f>+ROUND(Q56+Q63+Q67+Q71+Q75,0)</f>
        <v>397534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192299</v>
      </c>
      <c r="K83" s="1084"/>
      <c r="L83" s="1244">
        <f>+ROUND(L48,0)-ROUND(L77,0)+ROUND(L81,0)</f>
        <v>0</v>
      </c>
      <c r="M83" s="1084"/>
      <c r="N83" s="1245">
        <f>+ROUND(N48,0)-ROUND(N77,0)+ROUND(N81,0)</f>
        <v>192299</v>
      </c>
      <c r="O83" s="1246"/>
      <c r="P83" s="1243">
        <f>+ROUND(P48,0)-ROUND(P77,0)+ROUND(P81,0)</f>
        <v>0</v>
      </c>
      <c r="Q83" s="1244">
        <f>+ROUND(Q48,0)-ROUND(Q77,0)+ROUND(Q81,0)</f>
        <v>192299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-192299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-192299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-192299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-192299</v>
      </c>
      <c r="K123" s="1084"/>
      <c r="L123" s="1109">
        <f>+IF($P$2=33,$Q123,0)</f>
        <v>0</v>
      </c>
      <c r="M123" s="1084"/>
      <c r="N123" s="1110">
        <f>+ROUND(+G123+J123+L123,0)</f>
        <v>-192299</v>
      </c>
      <c r="O123" s="1086"/>
      <c r="P123" s="1108">
        <f>+ROUND(OTCHET!E524,0)</f>
        <v>0</v>
      </c>
      <c r="Q123" s="1109">
        <f>+ROUND(OTCHET!L524,0)</f>
        <v>-192299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-192299</v>
      </c>
      <c r="K127" s="1084"/>
      <c r="L127" s="1231">
        <f>+ROUND(+SUM(L122:L126),0)</f>
        <v>0</v>
      </c>
      <c r="M127" s="1084"/>
      <c r="N127" s="1232">
        <f>+ROUND(+SUM(N122:N126),0)</f>
        <v>-192299</v>
      </c>
      <c r="O127" s="1086"/>
      <c r="P127" s="1230">
        <f>+ROUND(+SUM(P122:P126),0)</f>
        <v>0</v>
      </c>
      <c r="Q127" s="1231">
        <f>+ROUND(+SUM(Q122:Q126),0)</f>
        <v>-192299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>
        <f>+OTCHET!B605</f>
        <v>45086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45077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397534</v>
      </c>
      <c r="G38" s="837">
        <f>G39+G43+G44+G46+SUM(G48:G52)+G55</f>
        <v>397534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60191</v>
      </c>
      <c r="G39" s="800">
        <f>SUM(G40:G42)</f>
        <v>60191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10903</v>
      </c>
      <c r="G40" s="863">
        <f>OTCHET!I187</f>
        <v>10903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39436</v>
      </c>
      <c r="G41" s="1627">
        <f>OTCHET!I190</f>
        <v>39436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9852</v>
      </c>
      <c r="G42" s="1627">
        <f>+OTCHET!I196+OTCHET!I204</f>
        <v>9852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13359</v>
      </c>
      <c r="G43" s="805">
        <f>+OTCHET!I205+OTCHET!I223+OTCHET!I271</f>
        <v>13359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287060</v>
      </c>
      <c r="G49" s="805">
        <f>OTCHET!I275+OTCHET!I276+OTCHET!I284+OTCHET!I287</f>
        <v>287060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192299</v>
      </c>
      <c r="G64" s="917">
        <f>+G22-G38+G56-G63</f>
        <v>230556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-192299</v>
      </c>
      <c r="G66" s="927">
        <f>SUM(+G68+G76+G77+G84+G85+G86+G89+G90+G91+G92+G93+G94+G95)</f>
        <v>-192299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-192299</v>
      </c>
      <c r="G86" s="895">
        <f>+G87+G88</f>
        <v>-192299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-192299</v>
      </c>
      <c r="G88" s="953">
        <f>+OTCHET!I521+OTCHET!I524+OTCHET!I544</f>
        <v>-192299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7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45077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май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45077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10903</v>
      </c>
      <c r="J187" s="275">
        <f t="shared" si="41"/>
        <v>0</v>
      </c>
      <c r="K187" s="276">
        <f t="shared" si="41"/>
        <v>0</v>
      </c>
      <c r="L187" s="273">
        <f t="shared" si="41"/>
        <v>10903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10903</v>
      </c>
      <c r="J188" s="283">
        <f t="shared" si="43"/>
        <v>0</v>
      </c>
      <c r="K188" s="284">
        <f t="shared" si="43"/>
        <v>0</v>
      </c>
      <c r="L188" s="281">
        <f t="shared" si="43"/>
        <v>10903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39436</v>
      </c>
      <c r="J190" s="275">
        <f t="shared" si="44"/>
        <v>0</v>
      </c>
      <c r="K190" s="276">
        <f t="shared" si="44"/>
        <v>0</v>
      </c>
      <c r="L190" s="273">
        <f t="shared" si="44"/>
        <v>39436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36862</v>
      </c>
      <c r="J191" s="283">
        <f t="shared" si="45"/>
        <v>0</v>
      </c>
      <c r="K191" s="284">
        <f t="shared" si="45"/>
        <v>0</v>
      </c>
      <c r="L191" s="281">
        <f t="shared" si="45"/>
        <v>36862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2574</v>
      </c>
      <c r="J192" s="297">
        <f t="shared" si="45"/>
        <v>0</v>
      </c>
      <c r="K192" s="298">
        <f t="shared" si="45"/>
        <v>0</v>
      </c>
      <c r="L192" s="295">
        <f t="shared" si="45"/>
        <v>2574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9852</v>
      </c>
      <c r="J196" s="275">
        <f t="shared" si="46"/>
        <v>0</v>
      </c>
      <c r="K196" s="276">
        <f t="shared" si="46"/>
        <v>0</v>
      </c>
      <c r="L196" s="273">
        <f t="shared" si="46"/>
        <v>9852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5613</v>
      </c>
      <c r="J197" s="283">
        <f t="shared" si="47"/>
        <v>0</v>
      </c>
      <c r="K197" s="284">
        <f t="shared" si="47"/>
        <v>0</v>
      </c>
      <c r="L197" s="281">
        <f t="shared" si="47"/>
        <v>5613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411</v>
      </c>
      <c r="J198" s="297">
        <f t="shared" si="47"/>
        <v>0</v>
      </c>
      <c r="K198" s="298">
        <f t="shared" si="47"/>
        <v>0</v>
      </c>
      <c r="L198" s="295">
        <f t="shared" si="47"/>
        <v>411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2437</v>
      </c>
      <c r="J200" s="297">
        <f t="shared" si="47"/>
        <v>0</v>
      </c>
      <c r="K200" s="298">
        <f t="shared" si="47"/>
        <v>0</v>
      </c>
      <c r="L200" s="295">
        <f t="shared" si="47"/>
        <v>2437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1391</v>
      </c>
      <c r="J201" s="297">
        <f t="shared" si="47"/>
        <v>0</v>
      </c>
      <c r="K201" s="298">
        <f t="shared" si="47"/>
        <v>0</v>
      </c>
      <c r="L201" s="295">
        <f t="shared" si="47"/>
        <v>1391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13359</v>
      </c>
      <c r="J205" s="275">
        <f t="shared" si="48"/>
        <v>0</v>
      </c>
      <c r="K205" s="276">
        <f t="shared" si="48"/>
        <v>0</v>
      </c>
      <c r="L205" s="310">
        <f t="shared" si="48"/>
        <v>13359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8107</v>
      </c>
      <c r="J210" s="297">
        <f t="shared" si="49"/>
        <v>0</v>
      </c>
      <c r="K210" s="298">
        <f t="shared" si="49"/>
        <v>0</v>
      </c>
      <c r="L210" s="295">
        <f t="shared" si="49"/>
        <v>8107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482</v>
      </c>
      <c r="J211" s="316">
        <f t="shared" si="49"/>
        <v>0</v>
      </c>
      <c r="K211" s="317">
        <f t="shared" si="49"/>
        <v>0</v>
      </c>
      <c r="L211" s="314">
        <f t="shared" si="49"/>
        <v>482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4300</v>
      </c>
      <c r="J212" s="322">
        <f t="shared" si="49"/>
        <v>0</v>
      </c>
      <c r="K212" s="323">
        <f t="shared" si="49"/>
        <v>0</v>
      </c>
      <c r="L212" s="320">
        <f t="shared" si="49"/>
        <v>4300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287060</v>
      </c>
      <c r="J275" s="275">
        <f t="shared" si="68"/>
        <v>0</v>
      </c>
      <c r="K275" s="276">
        <f t="shared" si="68"/>
        <v>0</v>
      </c>
      <c r="L275" s="310">
        <f t="shared" si="68"/>
        <v>287060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397534</v>
      </c>
      <c r="J301" s="397">
        <f t="shared" si="77"/>
        <v>0</v>
      </c>
      <c r="K301" s="398">
        <f t="shared" si="77"/>
        <v>0</v>
      </c>
      <c r="L301" s="395">
        <f t="shared" si="77"/>
        <v>397534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45077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>
        <v>628090</v>
      </c>
      <c r="J400" s="1605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45077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230556</v>
      </c>
      <c r="J445" s="539">
        <f t="shared" si="99"/>
        <v>-38257</v>
      </c>
      <c r="K445" s="540">
        <f t="shared" si="99"/>
        <v>0</v>
      </c>
      <c r="L445" s="541">
        <f t="shared" si="99"/>
        <v>192299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-192299</v>
      </c>
      <c r="J446" s="546">
        <f t="shared" si="100"/>
        <v>0</v>
      </c>
      <c r="K446" s="547">
        <f t="shared" si="100"/>
        <v>0</v>
      </c>
      <c r="L446" s="548">
        <f>+L597</f>
        <v>-192299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45077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-192299</v>
      </c>
      <c r="J524" s="569">
        <f t="shared" si="120"/>
        <v>0</v>
      </c>
      <c r="K524" s="570">
        <f t="shared" si="120"/>
        <v>0</v>
      </c>
      <c r="L524" s="567">
        <f t="shared" si="120"/>
        <v>-192299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>
        <v>-192299</v>
      </c>
      <c r="J527" s="159"/>
      <c r="K527" s="574">
        <v>0</v>
      </c>
      <c r="L527" s="1376">
        <f t="shared" si="116"/>
        <v>-192299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-192299</v>
      </c>
      <c r="J597" s="653">
        <f t="shared" si="133"/>
        <v>0</v>
      </c>
      <c r="K597" s="655">
        <f t="shared" si="133"/>
        <v>0</v>
      </c>
      <c r="L597" s="651">
        <f t="shared" si="133"/>
        <v>-192299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>
        <v>45086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45077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10903</v>
      </c>
      <c r="J637" s="275">
        <f t="shared" si="134"/>
        <v>0</v>
      </c>
      <c r="K637" s="276">
        <f t="shared" si="134"/>
        <v>0</v>
      </c>
      <c r="L637" s="273">
        <f t="shared" si="134"/>
        <v>10903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10903</v>
      </c>
      <c r="J638" s="153"/>
      <c r="K638" s="1407"/>
      <c r="L638" s="281">
        <f>I638+J638+K638</f>
        <v>10903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39436</v>
      </c>
      <c r="J640" s="275">
        <f t="shared" si="136"/>
        <v>0</v>
      </c>
      <c r="K640" s="276">
        <f t="shared" si="136"/>
        <v>0</v>
      </c>
      <c r="L640" s="273">
        <f t="shared" si="136"/>
        <v>39436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36862</v>
      </c>
      <c r="J641" s="153"/>
      <c r="K641" s="1407"/>
      <c r="L641" s="281">
        <f>I641+J641+K641</f>
        <v>36862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2574</v>
      </c>
      <c r="J642" s="159"/>
      <c r="K642" s="1409"/>
      <c r="L642" s="295">
        <f>I642+J642+K642</f>
        <v>2574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9852</v>
      </c>
      <c r="J646" s="275">
        <f t="shared" si="137"/>
        <v>0</v>
      </c>
      <c r="K646" s="276">
        <f t="shared" si="137"/>
        <v>0</v>
      </c>
      <c r="L646" s="273">
        <f t="shared" si="137"/>
        <v>9852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5613</v>
      </c>
      <c r="J647" s="153"/>
      <c r="K647" s="1407"/>
      <c r="L647" s="281">
        <f aca="true" t="shared" si="139" ref="L647:L654">I647+J647+K647</f>
        <v>5613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411</v>
      </c>
      <c r="J648" s="159"/>
      <c r="K648" s="1409"/>
      <c r="L648" s="295">
        <f t="shared" si="139"/>
        <v>411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2437</v>
      </c>
      <c r="J650" s="159"/>
      <c r="K650" s="1409"/>
      <c r="L650" s="295">
        <f t="shared" si="139"/>
        <v>2437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1391</v>
      </c>
      <c r="J651" s="159"/>
      <c r="K651" s="1409"/>
      <c r="L651" s="295">
        <f t="shared" si="139"/>
        <v>1391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13359</v>
      </c>
      <c r="J655" s="275">
        <f t="shared" si="140"/>
        <v>0</v>
      </c>
      <c r="K655" s="276">
        <f t="shared" si="140"/>
        <v>0</v>
      </c>
      <c r="L655" s="310">
        <f t="shared" si="140"/>
        <v>13359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8107</v>
      </c>
      <c r="J660" s="159"/>
      <c r="K660" s="1409"/>
      <c r="L660" s="295">
        <f t="shared" si="142"/>
        <v>8107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482</v>
      </c>
      <c r="J661" s="165"/>
      <c r="K661" s="1408"/>
      <c r="L661" s="314">
        <f t="shared" si="142"/>
        <v>482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4300</v>
      </c>
      <c r="J662" s="451"/>
      <c r="K662" s="1417"/>
      <c r="L662" s="320">
        <f t="shared" si="142"/>
        <v>4300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>
        <v>287060</v>
      </c>
      <c r="J725" s="1412"/>
      <c r="K725" s="1413"/>
      <c r="L725" s="310">
        <f>I725+J725+K725</f>
        <v>287060</v>
      </c>
      <c r="M725" s="12">
        <f t="shared" si="155"/>
        <v>1</v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397534</v>
      </c>
      <c r="J752" s="397">
        <f t="shared" si="169"/>
        <v>0</v>
      </c>
      <c r="K752" s="398">
        <f t="shared" si="169"/>
        <v>0</v>
      </c>
      <c r="L752" s="395">
        <f t="shared" si="169"/>
        <v>397534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2023-06-09T06:47:15Z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