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<sst xmlns="http://schemas.openxmlformats.org/spreadsheetml/2006/main" count="2898" uniqueCount="2088">
  <si>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</si>
  <si>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</si>
  <si>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</si>
  <si>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</si>
  <si>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</si>
  <si>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</si>
  <si>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</si>
  <si>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</si>
  <si>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</si>
  <si>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</si>
  <si>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</si>
  <si>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</si>
  <si>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</si>
  <si>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</si>
  <si>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</si>
  <si>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</si>
  <si>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</si>
  <si>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</si>
  <si>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</si>
  <si>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</si>
  <si>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</si>
  <si>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</si>
  <si>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</si>
  <si>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</si>
  <si>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</si>
  <si>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</si>
  <si>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</si>
  <si>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</si>
  <si>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</si>
  <si>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</si>
  <si>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</si>
  <si>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</si>
  <si>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</si>
  <si>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</si>
  <si>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</si>
  <si>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</si>
  <si>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</si>
  <si>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</si>
  <si>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</si>
  <si>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</si>
  <si>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</si>
  <si>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</si>
  <si>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</si>
  <si>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</si>
  <si>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</si>
  <si>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</si>
  <si>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</si>
  <si>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</si>
  <si>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</si>
  <si>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</si>
  <si>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</si>
  <si>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</si>
  <si>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</si>
  <si>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</si>
  <si>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</si>
  <si>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</si>
  <si>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</si>
  <si>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</si>
  <si>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</si>
  <si>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</si>
  <si>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</si>
  <si>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</si>
  <si>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</si>
  <si>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</si>
  <si>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</si>
  <si>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</si>
  <si>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</si>
  <si>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</si>
  <si>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</si>
  <si>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</si>
  <si>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</si>
  <si>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</si>
  <si>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</si>
  <si>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</si>
  <si>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</si>
  <si>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</si>
  <si>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</si>
  <si>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</si>
  <si>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</si>
  <si>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</si>
  <si>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</si>
  <si>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</si>
  <si>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</si>
  <si>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</si>
  <si>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</si>
  <si>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</si>
  <si>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</si>
  <si>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</si>
  <si>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</si>
  <si>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</si>
  <si>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</si>
  <si>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</si>
  <si>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</si>
  <si>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</si>
  <si>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</si>
  <si>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</si>
  <si>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</si>
  <si>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</si>
  <si>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</si>
  <si>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</si>
  <si>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</si>
  <si>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</si>
  <si>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</si>
  <si>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</si>
  <si>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</si>
  <si>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</si>
  <si>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</si>
  <si>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</si>
  <si>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</si>
  <si>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</si>
  <si>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</si>
  <si>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</si>
  <si>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</si>
  <si>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</si>
  <si>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</si>
  <si>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</si>
  <si>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</si>
  <si>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</si>
  <si>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</si>
  <si>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</si>
  <si>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</si>
  <si>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</si>
  <si>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</si>
  <si>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</si>
  <si>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</si>
  <si>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</si>
  <si>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</si>
  <si>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</si>
  <si>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</si>
  <si>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</si>
  <si>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</si>
  <si>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</si>
  <si>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</si>
  <si>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</si>
  <si>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</si>
  <si>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</si>
  <si>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</si>
  <si>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</si>
  <si>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</si>
  <si>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</si>
  <si>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</si>
  <si>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</si>
  <si>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</si>
  <si>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</si>
  <si>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</si>
  <si>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</si>
  <si>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</si>
  <si>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</si>
  <si>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</si>
  <si>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</si>
  <si>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</si>
  <si>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</si>
  <si>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</si>
  <si>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</si>
  <si>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</si>
  <si>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</si>
  <si>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</si>
  <si>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</si>
  <si>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</si>
  <si>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</si>
  <si>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</si>
  <si>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</si>
  <si>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</si>
  <si>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</si>
  <si>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</si>
  <si>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</si>
  <si>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</si>
  <si>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</si>
  <si>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</si>
  <si>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</si>
  <si>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</si>
  <si>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</si>
  <si>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</si>
  <si>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</si>
  <si>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</si>
  <si>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</si>
  <si>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</si>
  <si>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</si>
  <si>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</si>
  <si>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</si>
  <si>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</si>
  <si>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</si>
  <si>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</si>
  <si>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</si>
  <si>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</si>
  <si>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</si>
  <si>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</si>
  <si>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</si>
  <si>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</si>
  <si>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</si>
  <si>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</si>
  <si>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</si>
  <si>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</si>
  <si>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</si>
  <si>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</si>
  <si>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</si>
  <si>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</si>
  <si>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</si>
  <si>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</si>
  <si>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</si>
  <si>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</si>
  <si>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</si>
  <si>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</si>
  <si>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</si>
  <si>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</si>
  <si>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</si>
  <si>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</si>
  <si>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</si>
  <si>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</si>
  <si>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</si>
  <si>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</si>
  <si>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</si>
  <si>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</si>
  <si>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</si>
  <si>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</si>
  <si>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</si>
  <si>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</si>
  <si>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</si>
  <si>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</si>
  <si>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</si>
  <si>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</si>
  <si>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</si>
  <si>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</si>
  <si>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</si>
  <si>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</si>
  <si>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</si>
  <si>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</si>
  <si>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</si>
  <si>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</si>
  <si>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</si>
  <si>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</si>
  <si>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</si>
  <si>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</si>
  <si>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</si>
  <si>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</si>
  <si>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</si>
  <si>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</si>
  <si>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</si>
  <si>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</si>
  <si>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</si>
  <si>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</si>
  <si>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</si>
  <si>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</si>
  <si>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</si>
  <si>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</si>
  <si>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</si>
  <si>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</si>
  <si>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</si>
  <si>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</si>
  <si>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</si>
  <si>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</si>
  <si>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</si>
  <si>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</si>
  <si>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</si>
  <si>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</si>
  <si>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</si>
  <si>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</si>
  <si>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</si>
  <si>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</si>
  <si>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</si>
  <si>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</si>
  <si>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</si>
  <si>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</si>
  <si>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</si>
  <si>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</si>
  <si>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</si>
  <si>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</si>
  <si>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</si>
  <si>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</si>
  <si>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</si>
  <si>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</si>
  <si>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</si>
  <si>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</si>
  <si>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</si>
  <si>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</si>
  <si>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</si>
  <si>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</si>
  <si>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</si>
  <si>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</si>
  <si>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</si>
  <si>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</si>
  <si>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</si>
  <si>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</si>
  <si>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</si>
  <si>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</si>
  <si>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</si>
  <si>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</si>
  <si>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</si>
  <si>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</si>
  <si>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</si>
  <si>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</si>
  <si>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</si>
  <si>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</si>
  <si>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</si>
  <si>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</si>
  <si>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</si>
  <si>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</si>
  <si>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</si>
  <si>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</si>
  <si>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</si>
  <si>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</si>
  <si>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</si>
  <si>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</si>
  <si>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</si>
  <si>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</si>
  <si>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</si>
  <si>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</si>
  <si>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</si>
  <si>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</si>
  <si>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</si>
  <si>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</si>
  <si>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</si>
  <si>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</si>
  <si>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</si>
  <si>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</si>
  <si>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</si>
  <si>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</si>
  <si>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</si>
  <si>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</si>
  <si>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</si>
  <si>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</si>
  <si>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</si>
  <si>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</si>
  <si>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</si>
  <si>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</si>
  <si>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</si>
  <si>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</si>
  <si>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</si>
  <si>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</si>
  <si>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</si>
  <si>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</si>
  <si>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</si>
  <si>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</si>
  <si>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</si>
  <si>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</si>
  <si>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</si>
  <si>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</si>
  <si>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</si>
  <si>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</si>
  <si>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</si>
  <si>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</si>
  <si>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</si>
  <si>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</si>
  <si>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</si>
  <si>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</si>
  <si>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</si>
  <si>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</si>
  <si>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</si>
  <si>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</si>
  <si>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</si>
  <si>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</si>
  <si>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</si>
  <si>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</si>
  <si>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</si>
  <si>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</si>
  <si>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</si>
  <si>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</si>
  <si>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</si>
  <si>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</si>
  <si>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</si>
  <si>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</si>
  <si>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</si>
  <si>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</si>
  <si>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</si>
  <si>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</si>
  <si>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</si>
  <si>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</si>
  <si>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</si>
  <si>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</si>
  <si>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</si>
  <si>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</si>
  <si>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</si>
  <si>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</si>
  <si>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</si>
  <si>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</si>
  <si>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</si>
  <si>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</si>
  <si>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</si>
  <si>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</si>
  <si>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</si>
  <si>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</si>
  <si>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</si>
  <si>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</si>
  <si>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</si>
  <si>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</si>
  <si>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</si>
  <si>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</si>
  <si>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</si>
  <si>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</si>
  <si>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</si>
  <si>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</si>
  <si>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</si>
  <si>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</si>
  <si>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</si>
  <si>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</si>
  <si>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</si>
  <si>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</si>
  <si>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</si>
  <si>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</si>
  <si>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</si>
  <si>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</si>
  <si>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</si>
  <si>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</si>
  <si>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</si>
  <si>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</si>
  <si>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</si>
  <si>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</si>
  <si>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</si>
  <si>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</si>
  <si>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</si>
  <si>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</si>
  <si>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</si>
  <si>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</si>
  <si>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</si>
  <si>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</si>
  <si>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</si>
  <si>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</si>
  <si>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</si>
  <si>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</si>
  <si>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</si>
  <si>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</si>
  <si>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</si>
  <si>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</si>
  <si>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</si>
  <si>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</si>
  <si>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</si>
  <si>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</si>
  <si>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</si>
  <si>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</si>
  <si>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</si>
  <si>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</si>
  <si>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</si>
  <si>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</si>
  <si>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</si>
  <si>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</si>
  <si>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</si>
  <si>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</si>
  <si>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</si>
  <si>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</si>
  <si>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</si>
  <si>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</si>
  <si>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</si>
  <si>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</si>
  <si>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</si>
  <si>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</si>
  <si>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</si>
  <si>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</si>
  <si>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</si>
  <si>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</si>
  <si>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</si>
  <si>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</si>
  <si>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</si>
  <si>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</si>
  <si>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</si>
  <si>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</si>
  <si>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</si>
  <si>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</si>
  <si>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</si>
  <si>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</si>
  <si>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</si>
  <si>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</si>
  <si>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</si>
  <si>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</si>
  <si>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</si>
  <si>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</si>
  <si>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</si>
  <si>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</si>
  <si>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</si>
  <si>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</si>
  <si>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</si>
  <si>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</si>
  <si>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</si>
  <si>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</si>
  <si>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</si>
  <si>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</si>
  <si>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</si>
  <si>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</si>
  <si>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</si>
  <si>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</si>
  <si>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</si>
  <si>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</si>
  <si>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</si>
  <si>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</si>
  <si>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</si>
  <si>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</si>
  <si>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</si>
  <si>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</si>
  <si>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</si>
  <si>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</si>
  <si>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</si>
  <si>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</si>
  <si>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</si>
  <si>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</si>
  <si>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</si>
  <si>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</si>
  <si>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</si>
  <si>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</si>
  <si>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</si>
  <si>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</si>
  <si>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</si>
  <si>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</si>
  <si>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</si>
  <si>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</si>
  <si>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</si>
  <si>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</si>
  <si>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</si>
  <si>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</si>
  <si>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</si>
  <si>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</si>
  <si>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</si>
  <si>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</si>
  <si>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</si>
  <si>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</si>
  <si>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</si>
  <si>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</si>
  <si>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</si>
  <si>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</si>
  <si>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</si>
  <si>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</si>
  <si>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</si>
  <si>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</si>
  <si>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</si>
  <si>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</si>
  <si>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</si>
  <si>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</si>
  <si>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</si>
  <si>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</si>
  <si>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</si>
  <si>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</si>
  <si>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</si>
  <si>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</si>
  <si>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</si>
  <si>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</si>
  <si>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</si>
  <si>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</si>
  <si>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</si>
  <si>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</si>
  <si>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</si>
  <si>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</si>
  <si>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</si>
  <si>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</si>
  <si>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</si>
  <si>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</si>
  <si>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</si>
  <si>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</si>
  <si>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</si>
  <si>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</si>
  <si>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</si>
  <si>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</si>
  <si>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</si>
  <si>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</si>
  <si>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</si>
  <si>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</si>
  <si>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</si>
  <si>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</si>
  <si>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</si>
  <si>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</si>
  <si>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</si>
  <si>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</si>
  <si>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</si>
  <si>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</si>
  <si>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</si>
  <si>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</si>
  <si>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</si>
  <si>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</si>
  <si>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</si>
  <si>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</si>
  <si>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</si>
  <si>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</si>
  <si>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</si>
  <si>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</si>
  <si>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</si>
  <si>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</si>
  <si>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</si>
  <si>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</si>
  <si>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</si>
  <si>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</si>
  <si>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</si>
  <si>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</si>
  <si>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</si>
  <si>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</si>
  <si>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</si>
  <si>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</si>
  <si>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</si>
  <si>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</si>
  <si>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</si>
  <si>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</si>
  <si>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</si>
  <si>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</si>
  <si>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</si>
  <si>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</si>
  <si>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</si>
  <si>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</si>
  <si>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</si>
  <si>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</si>
  <si>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</si>
  <si>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</si>
  <si>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</si>
  <si>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</si>
  <si>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</si>
  <si>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</si>
  <si>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</si>
  <si>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</si>
  <si>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</si>
  <si>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</si>
  <si>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</si>
  <si>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</si>
  <si>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</si>
  <si>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</si>
  <si>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</si>
  <si>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</si>
  <si>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</si>
  <si>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</si>
  <si>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</si>
  <si>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</si>
  <si>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</si>
  <si>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</si>
  <si>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</si>
  <si>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</si>
  <si>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</si>
  <si>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</si>
  <si>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</si>
  <si>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</si>
  <si>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</si>
  <si>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</si>
  <si>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</si>
  <si>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</si>
  <si>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</si>
  <si>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</si>
  <si>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</si>
  <si>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</si>
  <si>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</si>
  <si>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</si>
  <si>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</si>
  <si>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</si>
  <si>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</si>
  <si>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</si>
  <si>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</si>
  <si>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</si>
  <si>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</si>
  <si>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</si>
  <si>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</si>
  <si>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</si>
  <si>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</si>
  <si>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</si>
  <si>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</si>
  <si>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</si>
  <si>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</si>
  <si>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</si>
  <si>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</si>
  <si>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</si>
  <si>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</si>
  <si>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</si>
  <si>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</si>
  <si>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</si>
  <si>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</si>
  <si>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</si>
  <si>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</si>
  <si>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</si>
  <si>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</si>
  <si>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</si>
  <si>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</si>
  <si>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</si>
  <si>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</si>
  <si>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</si>
  <si>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</si>
  <si>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</si>
  <si>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</si>
  <si>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</si>
  <si>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</si>
  <si>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</si>
  <si>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</si>
  <si>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</si>
  <si>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</si>
  <si>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</si>
  <si>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</si>
  <si>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</si>
  <si>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</si>
  <si>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</si>
  <si>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</si>
  <si>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</si>
  <si>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</si>
  <si>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</si>
  <si>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</si>
  <si>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</si>
  <si>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</si>
  <si>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</si>
  <si>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</si>
  <si>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</si>
  <si>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</si>
  <si>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</si>
  <si>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</si>
  <si>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</si>
  <si>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</si>
  <si>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</si>
  <si>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</si>
  <si>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</si>
  <si>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</si>
  <si>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</si>
  <si>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</si>
  <si>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</si>
  <si>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</si>
  <si>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</si>
  <si>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</si>
  <si>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</si>
  <si>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</si>
  <si>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</si>
  <si>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</si>
  <si>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</si>
  <si>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</si>
  <si>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</si>
  <si>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</si>
  <si>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</si>
  <si>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</si>
  <si>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</si>
  <si>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</si>
  <si>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</si>
  <si>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</si>
  <si>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</si>
  <si>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</si>
  <si>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</si>
  <si>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</si>
  <si>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</si>
  <si>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</si>
  <si>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</si>
  <si>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</si>
  <si>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</si>
  <si>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</si>
  <si>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</si>
  <si>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</si>
  <si>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</si>
  <si>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</si>
  <si>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</si>
  <si>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</si>
  <si>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</si>
  <si>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</si>
  <si>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</si>
  <si>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</si>
  <si>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</si>
  <si>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</si>
  <si>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</si>
  <si>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</si>
  <si>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</si>
  <si>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</si>
  <si>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</si>
  <si>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</si>
  <si>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</si>
  <si>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</si>
  <si>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</si>
  <si>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</si>
  <si>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</si>
  <si>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</si>
  <si>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</si>
  <si>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</si>
  <si>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</si>
  <si>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</si>
  <si>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</si>
  <si>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</si>
  <si>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</si>
  <si>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</si>
  <si>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</si>
  <si>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</si>
  <si>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</si>
  <si>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</si>
  <si>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</si>
  <si>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</si>
  <si>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</si>
  <si>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</si>
  <si>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</si>
  <si>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</si>
  <si>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</si>
  <si>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</si>
  <si>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</si>
  <si>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</si>
  <si>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</si>
  <si>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</si>
  <si>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</si>
  <si>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</si>
  <si>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</si>
  <si>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</si>
  <si>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</si>
  <si>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</si>
  <si>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</si>
  <si>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</si>
  <si>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</si>
  <si>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</si>
  <si>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</si>
  <si>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</si>
  <si>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</si>
  <si>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</si>
  <si>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</si>
  <si>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</si>
  <si>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</si>
  <si>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</si>
  <si>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</si>
  <si>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</si>
  <si>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</si>
  <si>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</si>
  <si>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</si>
  <si>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</si>
  <si>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</si>
  <si>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</si>
  <si>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</si>
  <si>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</si>
  <si>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</si>
  <si>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</si>
  <si>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</si>
  <si>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</si>
  <si>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</si>
  <si>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</si>
  <si>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</si>
  <si>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</si>
  <si>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</si>
  <si>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</si>
  <si>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</si>
  <si>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</si>
  <si>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</si>
  <si>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</si>
  <si>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</si>
  <si>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</si>
  <si>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</si>
  <si>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</si>
  <si>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</si>
  <si>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</si>
  <si>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</si>
  <si>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</si>
  <si>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</si>
  <si>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</si>
  <si>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</si>
  <si>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</si>
  <si>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</si>
  <si>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</si>
  <si>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</si>
  <si>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</si>
  <si>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</si>
  <si>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</si>
  <si>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</si>
  <si>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</si>
  <si>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</si>
  <si>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</si>
  <si>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</si>
  <si>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</si>
  <si>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</si>
  <si>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</si>
  <si>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</si>
  <si>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</si>
  <si>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</si>
  <si>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</si>
  <si>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</si>
  <si>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</si>
  <si>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</si>
  <si>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</si>
  <si>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</si>
  <si>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</si>
  <si>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</si>
  <si>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</si>
  <si>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</si>
  <si>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</si>
  <si>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</si>
  <si>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</si>
  <si>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</si>
  <si>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</si>
  <si>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</si>
  <si>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</si>
  <si>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</si>
  <si>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</si>
  <si>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</si>
  <si>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</si>
  <si>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</si>
  <si>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</si>
  <si>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</si>
  <si>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</si>
  <si>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</si>
  <si>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</si>
  <si>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</si>
  <si>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</si>
  <si>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</si>
  <si>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</si>
  <si>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</si>
  <si>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</si>
  <si>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</si>
  <si>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</si>
  <si>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</si>
  <si>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</si>
  <si>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</si>
  <si>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</si>
  <si>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</si>
  <si>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</si>
  <si>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</si>
  <si>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</si>
  <si>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</si>
  <si>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</si>
  <si>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</si>
  <si>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</si>
  <si>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</si>
  <si>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</si>
  <si>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</si>
  <si>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</si>
  <si>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</si>
  <si>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</si>
  <si>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</si>
  <si>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</si>
  <si>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</si>
  <si>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</si>
  <si>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</si>
  <si>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</si>
  <si>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</si>
  <si>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</si>
  <si>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</si>
  <si>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</si>
  <si>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</si>
  <si>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</si>
  <si>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</si>
  <si>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</si>
  <si>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</si>
  <si>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</si>
  <si>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</si>
  <si>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</si>
  <si>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</si>
  <si>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</si>
  <si>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</si>
  <si>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</si>
  <si>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</si>
  <si>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</si>
  <si>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</si>
  <si>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</si>
  <si>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</si>
  <si>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</si>
  <si>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</si>
  <si>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</si>
  <si>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</si>
  <si>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</si>
  <si>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</si>
  <si>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</si>
  <si>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</si>
  <si>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</si>
  <si>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</si>
  <si>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</si>
  <si>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</si>
  <si>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</si>
  <si>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</si>
  <si>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</si>
  <si>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</si>
  <si>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</si>
  <si>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</si>
  <si>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</si>
  <si>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</si>
  <si>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</si>
  <si>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</si>
  <si>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</si>
  <si>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</si>
  <si>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</si>
  <si>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</si>
  <si>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</si>
  <si>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</si>
  <si>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</si>
  <si>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</si>
  <si>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</si>
  <si>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</si>
  <si>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</si>
  <si>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</si>
  <si>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</si>
  <si>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</si>
  <si>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</si>
  <si>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</si>
  <si>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</si>
  <si>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</si>
  <si>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</si>
  <si>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</si>
  <si>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</si>
  <si>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</si>
  <si>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</si>
  <si>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</si>
  <si>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</si>
  <si>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</si>
  <si>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</si>
  <si>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</si>
  <si>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</si>
  <si>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</si>
  <si>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</si>
  <si>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</si>
  <si>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</si>
  <si>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</si>
  <si>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</si>
  <si>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</si>
  <si>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</si>
  <si>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</si>
  <si>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</si>
  <si>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</si>
  <si>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</si>
  <si>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</si>
  <si>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</si>
  <si>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</si>
  <si>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</si>
  <si>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</si>
  <si>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</si>
  <si>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</si>
  <si>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</si>
  <si>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</si>
  <si>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</si>
  <si>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</si>
  <si>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</si>
  <si>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</si>
  <si>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</si>
  <si>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</si>
  <si>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</si>
  <si>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</si>
  <si>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</si>
  <si>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</si>
  <si>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</si>
  <si>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</si>
  <si>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</si>
  <si>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</si>
  <si>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</si>
  <si>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</si>
  <si>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</si>
  <si>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</si>
  <si>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</si>
  <si>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</si>
  <si>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</si>
  <si>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</si>
  <si>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</si>
  <si>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</si>
  <si>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</si>
  <si>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</si>
  <si>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</si>
  <si>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</si>
  <si>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</si>
  <si>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</si>
  <si>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</si>
  <si>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</si>
  <si>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</si>
  <si>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</si>
  <si>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</si>
  <si>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</si>
  <si>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</si>
  <si>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</si>
  <si>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</si>
  <si>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</si>
  <si>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</si>
  <si>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</si>
  <si>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</si>
  <si>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</si>
  <si>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</si>
  <si>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</si>
  <si>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</si>
  <si>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</si>
  <si>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</si>
  <si>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</si>
  <si>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</si>
  <si>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</si>
  <si>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</si>
  <si>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</si>
  <si>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</si>
  <si>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</si>
  <si>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</si>
  <si>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</si>
  <si>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</si>
  <si>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</si>
  <si>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</si>
  <si>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</si>
  <si>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</si>
  <si>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</si>
  <si>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</si>
  <si>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</si>
  <si>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</si>
  <si>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</si>
  <si>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</si>
  <si>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</si>
  <si>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</si>
  <si>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</si>
  <si>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</si>
  <si>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</si>
  <si>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</si>
  <si>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</si>
  <si>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</si>
  <si>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</si>
  <si>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</si>
  <si>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</si>
  <si>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</si>
  <si>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</si>
  <si>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</si>
  <si>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</si>
  <si>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</si>
  <si>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</si>
  <si>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</si>
  <si>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</si>
  <si>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</si>
  <si>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</si>
  <si>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</si>
  <si>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</si>
  <si>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</si>
  <si>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</si>
  <si>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</si>
  <si>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</si>
  <si>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</si>
  <si>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</si>
  <si>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</si>
  <si>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</si>
  <si>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</si>
  <si>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</si>
  <si>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</si>
  <si>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</si>
  <si>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</si>
  <si>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</si>
  <si>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</si>
  <si>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</si>
  <si>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</si>
  <si>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</si>
  <si>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</si>
  <si>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</si>
  <si>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</si>
  <si>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</si>
  <si>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</si>
  <si>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</si>
  <si>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</si>
  <si>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</si>
  <si>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</si>
  <si>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</si>
  <si>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</si>
  <si>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</si>
  <si>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</si>
  <si>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</si>
  <si>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</si>
  <si>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</si>
  <si>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</si>
  <si>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</si>
  <si>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</si>
  <si>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</si>
  <si>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</si>
  <si>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</si>
  <si>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</si>
  <si>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</si>
  <si>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</si>
  <si>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</si>
  <si>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</si>
  <si>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</si>
  <si>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</si>
  <si>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</si>
  <si>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</si>
  <si>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</si>
  <si>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</si>
  <si>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</si>
  <si>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</si>
  <si>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</si>
  <si>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</si>
  <si>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</si>
  <si>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</si>
  <si>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</si>
  <si>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</si>
  <si>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</si>
  <si>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</si>
  <si>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</si>
  <si>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</si>
  <si>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</si>
  <si>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</si>
  <si>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</si>
  <si>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</si>
  <si>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</si>
  <si>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</si>
  <si>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</si>
  <si>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</si>
  <si>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</si>
  <si>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</si>
  <si>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</si>
  <si>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</si>
  <si>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</si>
  <si>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</si>
  <si>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</si>
  <si>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</si>
  <si>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</si>
  <si>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</si>
  <si>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</si>
  <si>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</si>
  <si>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</si>
  <si>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</si>
  <si>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</si>
  <si>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</si>
  <si>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</si>
  <si>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</si>
  <si>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</si>
  <si>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</si>
  <si>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</si>
  <si>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</si>
  <si>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</si>
  <si>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</si>
  <si>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</si>
  <si>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</si>
  <si>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</si>
  <si>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</si>
  <si>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</si>
  <si>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</si>
  <si>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</si>
  <si>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</si>
  <si>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</si>
  <si>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</si>
  <si>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</si>
  <si>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</si>
  <si>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</si>
  <si>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</si>
  <si>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</si>
  <si>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</si>
  <si>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</si>
  <si>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</si>
  <si>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</si>
  <si>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</si>
  <si>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</si>
  <si>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</si>
  <si>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</si>
  <si>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</si>
  <si>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</si>
  <si>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</si>
  <si>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</si>
  <si>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</si>
  <si>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</si>
  <si>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</si>
  <si>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</si>
  <si>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</si>
  <si>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</si>
  <si>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</si>
  <si>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</si>
  <si>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</si>
  <si>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</si>
  <si>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</si>
  <si>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</si>
  <si>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</si>
  <si>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</si>
  <si>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</si>
  <si>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</si>
  <si>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</si>
  <si>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</si>
  <si>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</si>
  <si>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</si>
  <si>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</si>
  <si>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</si>
  <si>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</si>
  <si>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</si>
  <si>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</si>
  <si>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</si>
  <si>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</si>
  <si>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</si>
  <si>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</si>
  <si>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</si>
  <si>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</si>
  <si>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</si>
  <si>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</si>
  <si>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</si>
  <si>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</si>
  <si>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</si>
  <si>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</si>
  <si>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</si>
  <si>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</si>
  <si>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</si>
  <si>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</si>
  <si>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</si>
  <si>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</si>
  <si>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</si>
  <si>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</si>
  <si>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</si>
  <si>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</si>
  <si>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</si>
  <si>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</si>
  <si>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</si>
  <si>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</si>
  <si>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</si>
  <si>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</si>
  <si>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</si>
  <si>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</si>
  <si>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</si>
  <si>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</si>
  <si>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</si>
  <si>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</si>
  <si>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</si>
  <si>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</si>
  <si>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</si>
  <si>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</si>
  <si>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</si>
  <si>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</si>
  <si>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</si>
  <si>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</si>
  <si>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</si>
  <si>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</si>
  <si>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</si>
  <si>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</si>
  <si>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</si>
  <si>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</si>
  <si>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</si>
  <si>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</si>
  <si>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</si>
  <si>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</si>
  <si>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</si>
  <si>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</si>
  <si>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</si>
  <si>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</si>
  <si>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</si>
  <si>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</si>
  <si>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</si>
  <si>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</si>
  <si>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</si>
  <si>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</si>
  <si>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</si>
  <si>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</si>
  <si>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</si>
  <si>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</si>
  <si>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</si>
  <si>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</si>
  <si>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</si>
  <si>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</si>
  <si>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</si>
  <si>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</si>
  <si>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</si>
  <si>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</si>
  <si>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</si>
  <si>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</si>
  <si>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</si>
  <si>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</si>
  <si>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</si>
  <si>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</si>
  <si>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</si>
  <si>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</si>
  <si>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</si>
  <si>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</si>
  <si>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</si>
  <si>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</si>
  <si>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</si>
  <si>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</si>
  <si>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</si>
  <si>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</si>
  <si>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</si>
  <si>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</si>
  <si>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</si>
  <si>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</si>
  <si>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</si>
  <si>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</si>
  <si>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</si>
  <si>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</si>
  <si>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</si>
  <si>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</si>
  <si>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</si>
  <si>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</si>
  <si>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</si>
  <si>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</si>
  <si>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</si>
  <si>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</si>
  <si>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</si>
  <si>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</si>
  <si>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</si>
  <si>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</si>
  <si>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</si>
  <si>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</si>
  <si>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</si>
  <si>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</si>
  <si>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</si>
  <si>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</si>
  <si>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</si>
  <si>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</si>
  <si>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</si>
  <si>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</si>
  <si>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</si>
  <si>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</si>
  <si>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</si>
  <si>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</si>
  <si>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</si>
  <si>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</si>
  <si>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</si>
  <si>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</si>
  <si>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</si>
  <si>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</si>
  <si>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</si>
  <si>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</si>
  <si>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</si>
  <si>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</si>
  <si>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</si>
  <si>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</si>
  <si>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</si>
  <si>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</si>
  <si>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</si>
  <si>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</si>
  <si>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</si>
  <si>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</si>
  <si>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</si>
  <si>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</si>
  <si>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</si>
  <si>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</si>
  <si>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</si>
  <si>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</si>
  <si>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</si>
  <si>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</si>
  <si>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</si>
  <si>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</si>
  <si>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</si>
  <si>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</si>
  <si>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</si>
  <si>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</si>
  <si>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</si>
  <si>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</si>
  <si>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</si>
  <si>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</si>
  <si>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</si>
  <si>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</si>
  <si>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</si>
  <si>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</si>
  <si>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</si>
  <si>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</si>
  <si>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</si>
  <si>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</si>
  <si>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</si>
  <si>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</si>
  <si>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</si>
  <si>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</si>
  <si>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</si>
  <si>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</si>
  <si>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</si>
  <si>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</si>
  <si>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</si>
  <si>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</si>
  <si>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</si>
  <si>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</si>
  <si>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</si>
  <si>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</si>
  <si>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</si>
  <si>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</si>
  <si>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</si>
  <si>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</si>
  <si>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</si>
  <si>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</si>
  <si>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</si>
  <si>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</si>
  <si>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</si>
  <si>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</si>
  <si>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</si>
  <si>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</si>
  <si>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</si>
  <si>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</si>
  <si>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</si>
  <si>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</si>
  <si>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</si>
  <si>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</si>
  <si>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</si>
  <si>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</si>
  <si>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</si>
  <si>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</si>
  <si>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</si>
  <si>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</si>
  <si>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</si>
  <si>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</si>
  <si>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</si>
  <si>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</si>
  <si>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</si>
  <si>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</si>
  <si>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</si>
  <si>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</si>
  <si>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</si>
  <si>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</si>
  <si>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</si>
  <si>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</si>
  <si>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</si>
  <si>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</si>
  <si>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</si>
  <si>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</si>
  <si>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</si>
  <si>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</si>
  <si>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</si>
  <si>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</si>
  <si>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</si>
  <si>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</si>
  <si>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</si>
  <si>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</si>
  <si>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</si>
  <si>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</si>
  <si>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</si>
  <si>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</si>
  <si>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</si>
  <si>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</si>
  <si>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</si>
  <si>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</si>
  <si>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</si>
  <si>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</si>
  <si>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</si>
  <si>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</si>
  <si>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</si>
  <si>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</si>
  <si>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</si>
  <si>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</si>
  <si>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</si>
  <si>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</si>
  <si>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</si>
  <si>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</si>
  <si>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</si>
  <si>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</si>
  <si>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</si>
  <si>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</si>
  <si>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</si>
  <si>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</si>
  <si>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</si>
  <si>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</si>
  <si>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</si>
  <si>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</si>
  <si>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</si>
  <si>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</si>
  <si>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</si>
  <si>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</si>
  <si>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</si>
  <si>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</si>
  <si>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</si>
  <si>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</si>
  <si>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</si>
  <si>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</si>
  <si>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</si>
  <si>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</si>
  <si>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</si>
  <si>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</si>
  <si>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</si>
  <si>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</si>
  <si>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</si>
  <si>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</si>
  <si>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</si>
  <si>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</si>
  <si>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</si>
  <si>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</si>
  <si>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</si>
  <si>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</si>
  <si>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</si>
  <si>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</si>
  <si>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</si>
  <si>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</si>
  <si>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</si>
  <si>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</si>
  <si>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</si>
  <si>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</si>
  <si>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</si>
  <si>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</si>
  <si>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</si>
  <si>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</si>
  <si>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</si>
  <si>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</si>
  <si>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</si>
  <si>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</si>
  <si>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</si>
  <si>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</si>
  <si>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</si>
  <si>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</si>
  <si>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</si>
  <si>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</si>
  <si>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</si>
  <si>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</si>
  <si>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</si>
  <si>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</si>
  <si>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</si>
  <si>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</si>
  <si>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</si>
  <si>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</si>
  <si>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</si>
  <si>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</si>
  <si>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</si>
  <si>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</si>
  <si>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</si>
  <si>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</si>
  <si>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</si>
  <si>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</si>
  <si>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</si>
  <si>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</si>
  <si>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</si>
  <si>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</si>
  <si>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</si>
  <si>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</si>
  <si>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</si>
  <si>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</si>
  <si>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</si>
  <si>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</si>
  <si>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</si>
  <si>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</si>
  <si>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</si>
  <si>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</si>
  <si>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</si>
  <si>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</si>
  <si>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</si>
  <si>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</si>
  <si>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</si>
  <si>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</si>
  <si>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</si>
  <si>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</si>
  <si>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</si>
  <si>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</si>
  <si>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</si>
  <si>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</si>
  <si>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</si>
  <si>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</si>
  <si>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</si>
  <si>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</si>
  <si>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</si>
  <si>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</si>
  <si>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</si>
  <si>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</si>
  <si>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</si>
  <si>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</si>
  <si>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</si>
  <si>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</si>
  <si>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</si>
  <si>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</si>
  <si>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</si>
  <si>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</si>
  <si>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</si>
  <si>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</si>
  <si>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</si>
  <si>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</si>
  <si>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</si>
  <si>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</si>
  <si>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</si>
  <si>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</si>
  <si>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</si>
  <si>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</si>
  <si>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</si>
  <si>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</si>
  <si>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</si>
  <si>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</si>
  <si>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</si>
  <si>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</si>
  <si>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</si>
  <si>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</si>
  <si>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</si>
  <si>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</si>
  <si>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</si>
  <si>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</si>
  <si>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</si>
  <si>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</si>
  <si>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</si>
  <si>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</si>
  <si>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</si>
  <si>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</si>
  <si>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</si>
  <si>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</si>
  <si>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</si>
  <si>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</si>
  <si>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</si>
  <si>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</si>
  <si>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</si>
  <si>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</si>
  <si>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</si>
  <si>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</si>
  <si>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</si>
  <si>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</si>
  <si>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</si>
  <si>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</si>
  <si>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</si>
  <si>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</si>
  <si>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</si>
  <si>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</si>
  <si>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</si>
  <si>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</si>
  <si>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</si>
  <si>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</si>
  <si>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</si>
  <si>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</si>
  <si>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</si>
  <si>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</si>
  <si>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</si>
  <si>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</si>
  <si>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</si>
  <si>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</si>
  <si>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</si>
  <si>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</si>
  <si>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</si>
  <si>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</si>
  <si>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</si>
  <si>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</si>
  <si>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</si>
  <si>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</si>
  <si>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</si>
  <si>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</si>
  <si>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</si>
  <si>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</si>
  <si>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</si>
  <si>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</si>
  <si>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</si>
  <si>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</si>
  <si>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</si>
  <si>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</si>
  <si>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</si>
  <si>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</si>
  <si>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</si>
  <si>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</si>
  <si>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</si>
  <si>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</si>
  <si>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</si>
  <si>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</si>
  <si>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</si>
  <si>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</si>
  <si>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</si>
  <si>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</si>
  <si>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</si>
  <si>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</si>
  <si>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</si>
  <si>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</si>
  <si>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</si>
  <si>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</si>
  <si>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</si>
  <si>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</si>
  <si>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</si>
  <si>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</si>
  <si>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</si>
  <si>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</si>
  <si>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</si>
  <si>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</si>
  <si>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</si>
  <si>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</si>
  <si>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</si>
  <si>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</si>
  <si>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</si>
  <si>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</si>
  <si>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</si>
  <si>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</si>
  <si>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</si>
  <si>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</si>
  <si>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</si>
  <si>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</si>
  <si>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</si>
  <si>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</si>
  <si>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</si>
  <si>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</si>
  <si>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</si>
  <si>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</si>
  <si>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</si>
  <si>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</si>
  <si>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</si>
  <si>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</si>
  <si>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</si>
  <si>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</si>
  <si>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</si>
  <si>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</si>
  <si>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</si>
  <si>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</si>
  <si>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</si>
  <si>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</si>
  <si>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</si>
  <si>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</si>
  <si>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</si>
  <si>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</si>
  <si>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</si>
  <si>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</si>
  <si>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</si>
  <si>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</si>
  <si>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</si>
  <si>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</si>
  <si>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</si>
  <si>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</si>
  <si>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</si>
  <si>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</si>
  <si>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</si>
  <si>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</si>
  <si>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</si>
  <si>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</si>
  <si>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</si>
  <si>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</si>
  <si>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</si>
  <si>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</si>
  <si>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</si>
  <si>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</si>
  <si>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</si>
  <si>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</si>
  <si>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</si>
  <si>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</si>
  <si>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</si>
  <si>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</si>
  <si>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</si>
  <si>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</si>
  <si>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</si>
  <si>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</si>
  <si>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</si>
  <si>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</si>
  <si>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</si>
  <si>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</si>
  <si>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</si>
  <si>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</si>
  <si>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</si>
  <si>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</si>
  <si>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</si>
  <si>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</si>
  <si>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</si>
  <si>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</si>
  <si>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</si>
  <si>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</si>
  <si>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</si>
  <si>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</si>
  <si>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</si>
  <si>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</si>
  <si>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</si>
  <si>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</si>
  <si>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</si>
  <si>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</si>
  <si>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</si>
  <si>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</si>
  <si>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</si>
  <si>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</si>
  <si>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</si>
  <si>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</si>
  <si>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</si>
  <si>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</si>
  <si>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</si>
  <si>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</si>
  <si>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</si>
  <si>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</si>
  <si>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</si>
  <si>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</si>
  <si>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</si>
  <si>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</si>
  <si>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</si>
  <si>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</si>
  <si>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</si>
  <si>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</si>
  <si>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</si>
  <si>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</si>
  <si>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</si>
  <si>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</si>
  <si>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</si>
  <si>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</si>
  <si>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</si>
  <si>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</si>
  <si>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</si>
  <si>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</si>
  <si>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</si>
  <si>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</si>
  <si>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</si>
  <si>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</si>
  <si>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</si>
  <si>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</si>
  <si>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</si>
  <si>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</si>
  <si>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</si>
  <si>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</si>
  <si>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</si>
  <si>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</si>
  <si>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</si>
  <si>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</si>
  <si>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</si>
  <si>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</si>
  <si>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</si>
  <si>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</si>
  <si>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</si>
  <si>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</si>
  <si>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</si>
  <si>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</si>
  <si>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</si>
  <si>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</si>
  <si>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</si>
  <si>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</si>
  <si>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</si>
  <si>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</si>
  <si>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</si>
  <si>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</si>
  <si>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</si>
  <si>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</si>
  <si>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</si>
  <si>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</si>
  <si>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</si>
  <si>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</si>
  <si>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</si>
  <si>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</si>
  <si>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</si>
  <si>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</si>
  <si>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</si>
  <si>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</si>
  <si>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</si>
  <si>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</si>
  <si>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</si>
  <si>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</si>
  <si>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</si>
  <si>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</si>
  <si>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</si>
  <si>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</si>
  <si>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</si>
  <si>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</si>
  <si>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</si>
  <si>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</si>
  <si>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</si>
  <si>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</si>
  <si>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</si>
  <si>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</si>
  <si>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</si>
  <si>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</si>
  <si>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</si>
  <si>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</si>
  <si>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</si>
  <si>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</si>
  <si>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</si>
  <si>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</si>
  <si>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</si>
  <si>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</si>
  <si>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</si>
  <si>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</si>
  <si>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</si>
  <si>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</si>
  <si>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</si>
  <si>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</si>
  <si>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</si>
  <si>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</si>
  <si>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</si>
  <si>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</si>
  <si>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</si>
  <si>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</si>
  <si>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</si>
  <si>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</si>
  <si>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</si>
  <si>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</si>
  <si>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</si>
  <si>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</si>
  <si>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</si>
  <si>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</si>
  <si>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</si>
  <si>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</si>
  <si>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</si>
  <si>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</si>
  <si>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</si>
  <si>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</si>
  <si>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</si>
  <si>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</si>
  <si>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</si>
  <si>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</si>
  <si>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</si>
  <si>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</si>
  <si>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</si>
  <si>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</si>
  <si>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</si>
  <si>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</si>
  <si>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</si>
  <si>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</si>
  <si>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</si>
  <si>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</si>
  <si>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</si>
  <si>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</si>
  <si>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</si>
  <si>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</si>
  <si>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</si>
  <si>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</si>
  <si>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</si>
  <si>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</si>
  <si>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</si>
  <si>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</si>
  <si>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</si>
  <si>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</si>
  <si>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</si>
  <si>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</si>
  <si>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</si>
  <si>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</si>
  <si>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</si>
  <si>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</si>
  <si>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</si>
  <si>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</si>
  <si>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</si>
  <si>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</si>
  <si>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</si>
  <si>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</si>
  <si>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</si>
  <si>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</si>
  <si>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</si>
  <si>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</si>
  <si>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</si>
  <si>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</si>
  <si>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</si>
  <si>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</si>
  <si>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</si>
  <si>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</si>
  <si>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</si>
  <si>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</si>
  <si>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</si>
  <si>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</si>
  <si>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</si>
  <si>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</si>
  <si>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</si>
  <si>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</si>
  <si>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</si>
  <si>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</si>
  <si>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</si>
  <si>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</si>
  <si>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</si>
  <si>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</si>
  <si>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</si>
  <si>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</si>
  <si>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</si>
  <si>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</si>
  <si>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</si>
  <si>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</si>
  <si>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</si>
  <si>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</si>
  <si>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</si>
  <si>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</si>
  <si>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</si>
  <si>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</si>
  <si>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</si>
  <si>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</si>
  <si>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</si>
  <si>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</si>
  <si>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</si>
  <si>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</si>
  <si>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</si>
  <si>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</si>
  <si>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</si>
  <si>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</si>
  <si>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</si>
  <si>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</si>
  <si>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</si>
  <si>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</si>
  <si>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</si>
  <si>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</si>
  <si>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</si>
  <si>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</si>
  <si>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</si>
  <si>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</si>
  <si>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</si>
  <si>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</si>
  <si>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</si>
  <si>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</si>
  <si>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</si>
  <si>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</si>
  <si>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</si>
  <si>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</si>
  <si>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</si>
  <si>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</si>
  <si>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</si>
  <si>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</si>
  <si>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</si>
  <si>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</si>
  <si>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</si>
  <si>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</si>
  <si>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</si>
  <si>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</si>
  <si>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</si>
  <si>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</si>
  <si>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</si>
  <si>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</si>
  <si>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</si>
  <si>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</si>
  <si>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</si>
  <si>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</si>
  <si>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</si>
  <si>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</si>
  <si>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</si>
  <si>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</si>
  <si>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</si>
  <si>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</si>
  <si>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</si>
  <si>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</si>
  <si>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</si>
  <si>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</si>
  <si>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</si>
  <si>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</si>
  <si>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</si>
  <si>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</si>
  <si>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</si>
  <si>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</si>
  <si>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</si>
  <si>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</si>
  <si>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</si>
  <si>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</si>
  <si>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</si>
  <si>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</si>
  <si>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</si>
  <si>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</si>
  <si>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</si>
  <si>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</si>
  <si>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</si>
  <si>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</si>
  <si>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</si>
  <si>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</si>
  <si>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</si>
  <si>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</si>
  <si>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</si>
  <si>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</si>
  <si>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</si>
  <si>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</si>
  <si>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</si>
  <si>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</si>
  <si>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</si>
  <si>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</si>
  <si>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</si>
  <si>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</si>
  <si>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</si>
  <si>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</si>
  <si>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</si>
  <si>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</si>
  <si>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</si>
  <si>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</si>
  <si>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</si>
  <si>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</si>
  <si>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</si>
  <si>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</si>
  <si>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24.10.2023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</si>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</sst>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1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1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5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7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2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23" xfId="34" applyFont="1" applyFill="1" applyBorder="1" applyAlignment="1" applyProtection="1" quotePrefix="1">
      <alignment horizontal="center" vertical="center"/>
      <protection/>
    </xf>
    <xf numFmtId="0" fontId="255" fillId="49" borderId="24" xfId="34" applyFont="1" applyFill="1" applyBorder="1" applyAlignment="1" applyProtection="1">
      <alignment horizontal="center" vertical="center"/>
      <protection/>
    </xf>
    <xf numFmtId="0" fontId="256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57" fillId="49" borderId="19" xfId="34" applyFont="1" applyFill="1" applyBorder="1" applyAlignment="1" applyProtection="1">
      <alignment horizontal="center" vertical="center" wrapText="1"/>
      <protection/>
    </xf>
    <xf numFmtId="0" fontId="258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5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59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1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59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1" fillId="45" borderId="29" xfId="34" applyNumberFormat="1" applyFont="1" applyFill="1" applyBorder="1" applyAlignment="1" applyProtection="1">
      <alignment horizontal="center" vertical="center"/>
      <protection/>
    </xf>
    <xf numFmtId="188" fontId="241" fillId="45" borderId="27" xfId="34" applyNumberFormat="1" applyFont="1" applyFill="1" applyBorder="1" applyAlignment="1" applyProtection="1">
      <alignment horizontal="center" vertical="center"/>
      <protection/>
    </xf>
    <xf numFmtId="188" fontId="241" fillId="45" borderId="33" xfId="34" applyNumberFormat="1" applyFont="1" applyFill="1" applyBorder="1" applyAlignment="1" applyProtection="1">
      <alignment horizontal="center" vertical="center"/>
      <protection/>
    </xf>
    <xf numFmtId="188" fontId="241" fillId="45" borderId="31" xfId="34" applyNumberFormat="1" applyFont="1" applyFill="1" applyBorder="1" applyAlignment="1" applyProtection="1">
      <alignment horizontal="center" vertical="center"/>
      <protection/>
    </xf>
    <xf numFmtId="188" fontId="241" fillId="45" borderId="42" xfId="34" applyNumberFormat="1" applyFont="1" applyFill="1" applyBorder="1" applyAlignment="1" applyProtection="1">
      <alignment horizontal="center" vertical="center"/>
      <protection/>
    </xf>
    <xf numFmtId="188" fontId="241" fillId="45" borderId="43" xfId="34" applyNumberFormat="1" applyFont="1" applyFill="1" applyBorder="1" applyAlignment="1" applyProtection="1">
      <alignment horizontal="center" vertical="center"/>
      <protection/>
    </xf>
    <xf numFmtId="0" fontId="260" fillId="49" borderId="49" xfId="42" applyFont="1" applyFill="1" applyBorder="1" applyAlignment="1" quotePrefix="1">
      <alignment horizontal="right" vertical="center"/>
      <protection/>
    </xf>
    <xf numFmtId="0" fontId="255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58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3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0" fillId="49" borderId="49" xfId="42" applyFont="1" applyFill="1" applyBorder="1" applyAlignment="1" applyProtection="1" quotePrefix="1">
      <alignment horizontal="right" vertical="center"/>
      <protection/>
    </xf>
    <xf numFmtId="0" fontId="255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1" fillId="39" borderId="103" xfId="38" applyFont="1" applyFill="1" applyBorder="1" applyProtection="1">
      <alignment/>
      <protection/>
    </xf>
    <xf numFmtId="190" fontId="261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2" fillId="52" borderId="104" xfId="34" applyFont="1" applyFill="1" applyBorder="1" applyAlignment="1" applyProtection="1" quotePrefix="1">
      <alignment vertical="center"/>
      <protection/>
    </xf>
    <xf numFmtId="0" fontId="263" fillId="52" borderId="105" xfId="34" applyFont="1" applyFill="1" applyBorder="1" applyAlignment="1" applyProtection="1">
      <alignment horizontal="center" vertical="center"/>
      <protection/>
    </xf>
    <xf numFmtId="0" fontId="262" fillId="52" borderId="106" xfId="34" applyFont="1" applyFill="1" applyBorder="1" applyAlignment="1" applyProtection="1" quotePrefix="1">
      <alignment horizontal="center" vertical="center" wrapText="1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2" fillId="39" borderId="23" xfId="34" applyNumberFormat="1" applyFont="1" applyFill="1" applyBorder="1" applyAlignment="1" applyProtection="1">
      <alignment horizontal="center" vertical="center" wrapText="1"/>
      <protection/>
    </xf>
    <xf numFmtId="1" fontId="262" fillId="39" borderId="92" xfId="34" applyNumberFormat="1" applyFont="1" applyFill="1" applyBorder="1" applyAlignment="1" applyProtection="1">
      <alignment horizontal="center" vertical="center" wrapText="1"/>
      <protection/>
    </xf>
    <xf numFmtId="1" fontId="262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3" fillId="39" borderId="0" xfId="34" applyFont="1" applyFill="1" applyBorder="1" applyAlignment="1" applyProtection="1">
      <alignment horizontal="left" vertical="center" wrapText="1"/>
      <protection/>
    </xf>
    <xf numFmtId="181" fontId="262" fillId="4" borderId="40" xfId="42" applyNumberFormat="1" applyFont="1" applyFill="1" applyBorder="1" applyAlignment="1" quotePrefix="1">
      <alignment horizontal="right" vertical="center"/>
      <protection/>
    </xf>
    <xf numFmtId="3" fontId="262" fillId="4" borderId="61" xfId="34" applyNumberFormat="1" applyFont="1" applyFill="1" applyBorder="1" applyAlignment="1" applyProtection="1">
      <alignment vertical="center"/>
      <protection/>
    </xf>
    <xf numFmtId="3" fontId="263" fillId="4" borderId="17" xfId="34" applyNumberFormat="1" applyFont="1" applyFill="1" applyBorder="1" applyAlignment="1">
      <alignment vertical="center"/>
      <protection/>
    </xf>
    <xf numFmtId="3" fontId="263" fillId="4" borderId="12" xfId="34" applyNumberFormat="1" applyFont="1" applyFill="1" applyBorder="1" applyAlignment="1" applyProtection="1">
      <alignment vertical="center"/>
      <protection/>
    </xf>
    <xf numFmtId="3" fontId="263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1" fillId="53" borderId="30" xfId="34" applyNumberFormat="1" applyFont="1" applyFill="1" applyBorder="1" applyAlignment="1" applyProtection="1">
      <alignment horizontal="center" vertical="center"/>
      <protection/>
    </xf>
    <xf numFmtId="188" fontId="241" fillId="53" borderId="34" xfId="34" applyNumberFormat="1" applyFont="1" applyFill="1" applyBorder="1" applyAlignment="1" applyProtection="1">
      <alignment horizontal="center" vertical="center"/>
      <protection/>
    </xf>
    <xf numFmtId="188" fontId="241" fillId="53" borderId="44" xfId="34" applyNumberFormat="1" applyFont="1" applyFill="1" applyBorder="1" applyAlignment="1" applyProtection="1">
      <alignment horizontal="center" vertical="center"/>
      <protection/>
    </xf>
    <xf numFmtId="3" fontId="263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3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1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2" fillId="4" borderId="61" xfId="34" applyNumberFormat="1" applyFont="1" applyFill="1" applyBorder="1" applyAlignment="1" applyProtection="1">
      <alignment horizontal="right" vertical="center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/>
    </xf>
    <xf numFmtId="3" fontId="263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3" fillId="4" borderId="17" xfId="34" applyNumberFormat="1" applyFont="1" applyFill="1" applyBorder="1" applyAlignment="1" applyProtection="1">
      <alignment horizontal="right" vertical="center"/>
      <protection locked="0"/>
    </xf>
    <xf numFmtId="3" fontId="263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2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2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2" fillId="4" borderId="20" xfId="42" applyNumberFormat="1" applyFont="1" applyFill="1" applyBorder="1" applyAlignment="1" quotePrefix="1">
      <alignment horizontal="right" vertical="center"/>
      <protection/>
    </xf>
    <xf numFmtId="3" fontId="262" fillId="4" borderId="19" xfId="34" applyNumberFormat="1" applyFont="1" applyFill="1" applyBorder="1" applyAlignment="1" applyProtection="1">
      <alignment vertical="center"/>
      <protection/>
    </xf>
    <xf numFmtId="3" fontId="263" fillId="4" borderId="23" xfId="34" applyNumberFormat="1" applyFont="1" applyFill="1" applyBorder="1" applyAlignment="1" applyProtection="1">
      <alignment vertical="center"/>
      <protection/>
    </xf>
    <xf numFmtId="3" fontId="263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3" fillId="45" borderId="62" xfId="34" applyNumberFormat="1" applyFont="1" applyFill="1" applyBorder="1" applyAlignment="1" applyProtection="1">
      <alignment horizontal="center" vertical="center"/>
      <protection/>
    </xf>
    <xf numFmtId="188" fontId="233" fillId="45" borderId="64" xfId="34" applyNumberFormat="1" applyFont="1" applyFill="1" applyBorder="1" applyAlignment="1" applyProtection="1">
      <alignment horizontal="center" vertical="center"/>
      <protection/>
    </xf>
    <xf numFmtId="188" fontId="233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1" fillId="45" borderId="87" xfId="34" applyNumberFormat="1" applyFont="1" applyFill="1" applyBorder="1" applyAlignment="1" applyProtection="1">
      <alignment horizontal="center" vertical="center"/>
      <protection/>
    </xf>
    <xf numFmtId="188" fontId="241" fillId="45" borderId="84" xfId="34" applyNumberFormat="1" applyFont="1" applyFill="1" applyBorder="1" applyAlignment="1" applyProtection="1">
      <alignment horizontal="center" vertical="center"/>
      <protection/>
    </xf>
    <xf numFmtId="188" fontId="241" fillId="53" borderId="88" xfId="34" applyNumberFormat="1" applyFont="1" applyFill="1" applyBorder="1" applyAlignment="1" applyProtection="1">
      <alignment horizontal="center" vertical="center"/>
      <protection/>
    </xf>
    <xf numFmtId="188" fontId="241" fillId="53" borderId="39" xfId="34" applyNumberFormat="1" applyFont="1" applyFill="1" applyBorder="1" applyAlignment="1" applyProtection="1">
      <alignment horizontal="center" vertical="center"/>
      <protection/>
    </xf>
    <xf numFmtId="178" fontId="266" fillId="52" borderId="113" xfId="42" applyNumberFormat="1" applyFont="1" applyFill="1" applyBorder="1" applyAlignment="1">
      <alignment horizontal="right" vertical="center"/>
      <protection/>
    </xf>
    <xf numFmtId="181" fontId="264" fillId="52" borderId="50" xfId="42" applyNumberFormat="1" applyFont="1" applyFill="1" applyBorder="1" applyAlignment="1" quotePrefix="1">
      <alignment horizontal="right" vertical="center"/>
      <protection/>
    </xf>
    <xf numFmtId="0" fontId="262" fillId="52" borderId="114" xfId="42" applyFont="1" applyFill="1" applyBorder="1" applyAlignment="1">
      <alignment horizontal="center" vertical="center" wrapText="1"/>
      <protection/>
    </xf>
    <xf numFmtId="3" fontId="262" fillId="52" borderId="89" xfId="34" applyNumberFormat="1" applyFont="1" applyFill="1" applyBorder="1" applyAlignment="1" applyProtection="1">
      <alignment vertical="center"/>
      <protection/>
    </xf>
    <xf numFmtId="3" fontId="263" fillId="52" borderId="49" xfId="34" applyNumberFormat="1" applyFont="1" applyFill="1" applyBorder="1" applyAlignment="1">
      <alignment vertical="center"/>
      <protection/>
    </xf>
    <xf numFmtId="3" fontId="263" fillId="52" borderId="115" xfId="34" applyNumberFormat="1" applyFont="1" applyFill="1" applyBorder="1" applyAlignment="1">
      <alignment vertical="center"/>
      <protection/>
    </xf>
    <xf numFmtId="3" fontId="263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1" fillId="39" borderId="103" xfId="38" applyNumberFormat="1" applyFont="1" applyFill="1" applyBorder="1" applyProtection="1">
      <alignment/>
      <protection/>
    </xf>
    <xf numFmtId="190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8" fillId="39" borderId="12" xfId="40" applyNumberFormat="1" applyFont="1" applyFill="1" applyBorder="1" applyAlignment="1" applyProtection="1">
      <alignment horizontal="center" vertical="center"/>
      <protection/>
    </xf>
    <xf numFmtId="186" fontId="27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6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9" fontId="240" fillId="26" borderId="0" xfId="47" applyNumberFormat="1" applyFont="1" applyFill="1" applyBorder="1" applyAlignment="1" applyProtection="1">
      <alignment/>
      <protection/>
    </xf>
    <xf numFmtId="38" fontId="240" fillId="26" borderId="0" xfId="47" applyNumberFormat="1" applyFont="1" applyFill="1" applyBorder="1" applyProtection="1">
      <alignment/>
      <protection/>
    </xf>
    <xf numFmtId="0" fontId="240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9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5" fillId="42" borderId="126" xfId="37" applyNumberFormat="1" applyFont="1" applyFill="1" applyBorder="1" applyAlignment="1" applyProtection="1" quotePrefix="1">
      <alignment horizontal="center" wrapText="1"/>
      <protection/>
    </xf>
    <xf numFmtId="195" fontId="28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5" fillId="42" borderId="132" xfId="37" applyNumberFormat="1" applyFont="1" applyFill="1" applyBorder="1" applyAlignment="1" applyProtection="1" quotePrefix="1">
      <alignment horizontal="center"/>
      <protection/>
    </xf>
    <xf numFmtId="179" fontId="289" fillId="42" borderId="132" xfId="37" applyNumberFormat="1" applyFont="1" applyFill="1" applyBorder="1" applyAlignment="1" applyProtection="1" quotePrefix="1">
      <alignment horizontal="center"/>
      <protection/>
    </xf>
    <xf numFmtId="196" fontId="239" fillId="61" borderId="132" xfId="37" applyNumberFormat="1" applyFont="1" applyFill="1" applyBorder="1" applyAlignment="1" applyProtection="1" quotePrefix="1">
      <alignment horizontal="center"/>
      <protection/>
    </xf>
    <xf numFmtId="179" fontId="237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8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4" fillId="39" borderId="82" xfId="37" applyNumberFormat="1" applyFont="1" applyFill="1" applyBorder="1" applyAlignment="1" applyProtection="1" quotePrefix="1">
      <alignment/>
      <protection/>
    </xf>
    <xf numFmtId="189" fontId="27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4" fillId="26" borderId="105" xfId="37" applyNumberFormat="1" applyFont="1" applyFill="1" applyBorder="1" applyAlignment="1" applyProtection="1" quotePrefix="1">
      <alignment/>
      <protection/>
    </xf>
    <xf numFmtId="189" fontId="274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1" fillId="65" borderId="159" xfId="37" applyNumberFormat="1" applyFont="1" applyFill="1" applyBorder="1" applyAlignment="1" applyProtection="1">
      <alignment horizontal="center"/>
      <protection/>
    </xf>
    <xf numFmtId="190" fontId="292" fillId="65" borderId="160" xfId="37" applyNumberFormat="1" applyFont="1" applyFill="1" applyBorder="1" applyAlignment="1" applyProtection="1">
      <alignment horizontal="center"/>
      <protection/>
    </xf>
    <xf numFmtId="190" fontId="293" fillId="66" borderId="159" xfId="37" applyNumberFormat="1" applyFont="1" applyFill="1" applyBorder="1" applyAlignment="1" applyProtection="1">
      <alignment horizontal="center"/>
      <protection/>
    </xf>
    <xf numFmtId="190" fontId="294" fillId="66" borderId="160" xfId="37" applyNumberFormat="1" applyFont="1" applyFill="1" applyBorder="1" applyAlignment="1" applyProtection="1">
      <alignment horizontal="center"/>
      <protection/>
    </xf>
    <xf numFmtId="190" fontId="295" fillId="67" borderId="161" xfId="37" applyNumberFormat="1" applyFont="1" applyFill="1" applyBorder="1" applyAlignment="1" applyProtection="1">
      <alignment horizontal="center"/>
      <protection/>
    </xf>
    <xf numFmtId="190" fontId="29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1" fillId="65" borderId="165" xfId="37" applyNumberFormat="1" applyFont="1" applyFill="1" applyBorder="1" applyAlignment="1" applyProtection="1">
      <alignment horizontal="center"/>
      <protection/>
    </xf>
    <xf numFmtId="190" fontId="292" fillId="65" borderId="166" xfId="37" applyNumberFormat="1" applyFont="1" applyFill="1" applyBorder="1" applyAlignment="1" applyProtection="1">
      <alignment horizontal="center"/>
      <protection/>
    </xf>
    <xf numFmtId="190" fontId="293" fillId="66" borderId="165" xfId="37" applyNumberFormat="1" applyFont="1" applyFill="1" applyBorder="1" applyAlignment="1" applyProtection="1">
      <alignment horizontal="center"/>
      <protection/>
    </xf>
    <xf numFmtId="190" fontId="294" fillId="66" borderId="166" xfId="37" applyNumberFormat="1" applyFont="1" applyFill="1" applyBorder="1" applyAlignment="1" applyProtection="1">
      <alignment horizontal="center"/>
      <protection/>
    </xf>
    <xf numFmtId="190" fontId="295" fillId="67" borderId="167" xfId="37" applyNumberFormat="1" applyFont="1" applyFill="1" applyBorder="1" applyAlignment="1" applyProtection="1">
      <alignment horizontal="center"/>
      <protection/>
    </xf>
    <xf numFmtId="190" fontId="29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0" fontId="247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2" fontId="29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1" fillId="45" borderId="17" xfId="34" applyNumberFormat="1" applyFont="1" applyFill="1" applyBorder="1" applyAlignment="1" applyProtection="1">
      <alignment horizontal="center" vertical="center"/>
      <protection/>
    </xf>
    <xf numFmtId="188" fontId="241" fillId="45" borderId="12" xfId="34" applyNumberFormat="1" applyFont="1" applyFill="1" applyBorder="1" applyAlignment="1" applyProtection="1">
      <alignment horizontal="center" vertical="center"/>
      <protection/>
    </xf>
    <xf numFmtId="188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8" fontId="241" fillId="45" borderId="75" xfId="34" applyNumberFormat="1" applyFont="1" applyFill="1" applyBorder="1" applyAlignment="1" applyProtection="1">
      <alignment horizontal="center" vertical="center"/>
      <protection/>
    </xf>
    <xf numFmtId="188" fontId="241" fillId="45" borderId="72" xfId="34" applyNumberFormat="1" applyFont="1" applyFill="1" applyBorder="1" applyAlignment="1" applyProtection="1">
      <alignment horizontal="center" vertical="center"/>
      <protection/>
    </xf>
    <xf numFmtId="188" fontId="241" fillId="45" borderId="70" xfId="34" applyNumberFormat="1" applyFont="1" applyFill="1" applyBorder="1" applyAlignment="1" applyProtection="1">
      <alignment horizontal="center" vertical="center"/>
      <protection/>
    </xf>
    <xf numFmtId="188" fontId="241" fillId="45" borderId="67" xfId="34" applyNumberFormat="1" applyFont="1" applyFill="1" applyBorder="1" applyAlignment="1" applyProtection="1">
      <alignment horizontal="center" vertical="center"/>
      <protection/>
    </xf>
    <xf numFmtId="188" fontId="241" fillId="53" borderId="87" xfId="34" applyNumberFormat="1" applyFont="1" applyFill="1" applyBorder="1" applyAlignment="1" applyProtection="1">
      <alignment horizontal="center" vertical="center"/>
      <protection/>
    </xf>
    <xf numFmtId="188" fontId="241" fillId="53" borderId="84" xfId="34" applyNumberFormat="1" applyFont="1" applyFill="1" applyBorder="1" applyAlignment="1" applyProtection="1">
      <alignment horizontal="center" vertical="center"/>
      <protection/>
    </xf>
    <xf numFmtId="188" fontId="241" fillId="48" borderId="17" xfId="34" applyNumberFormat="1" applyFont="1" applyFill="1" applyBorder="1" applyAlignment="1" applyProtection="1">
      <alignment horizontal="center" vertical="center"/>
      <protection/>
    </xf>
    <xf numFmtId="188" fontId="241" fillId="48" borderId="12" xfId="34" applyNumberFormat="1" applyFont="1" applyFill="1" applyBorder="1" applyAlignment="1" applyProtection="1">
      <alignment horizontal="center" vertical="center"/>
      <protection/>
    </xf>
    <xf numFmtId="188" fontId="241" fillId="48" borderId="18" xfId="34" applyNumberFormat="1" applyFont="1" applyFill="1" applyBorder="1" applyAlignment="1" applyProtection="1">
      <alignment horizontal="center" vertical="center"/>
      <protection/>
    </xf>
    <xf numFmtId="188" fontId="241" fillId="4" borderId="18" xfId="34" applyNumberFormat="1" applyFont="1" applyFill="1" applyBorder="1" applyAlignment="1" applyProtection="1">
      <alignment horizontal="center" vertical="center"/>
      <protection/>
    </xf>
    <xf numFmtId="188" fontId="241" fillId="5" borderId="18" xfId="34" applyNumberFormat="1" applyFont="1" applyFill="1" applyBorder="1" applyAlignment="1" applyProtection="1">
      <alignment horizontal="center" vertical="center"/>
      <protection/>
    </xf>
    <xf numFmtId="188" fontId="241" fillId="45" borderId="38" xfId="34" applyNumberFormat="1" applyFont="1" applyFill="1" applyBorder="1" applyAlignment="1" applyProtection="1">
      <alignment horizontal="center" vertical="center"/>
      <protection/>
    </xf>
    <xf numFmtId="188" fontId="241" fillId="45" borderId="36" xfId="34" applyNumberFormat="1" applyFont="1" applyFill="1" applyBorder="1" applyAlignment="1" applyProtection="1">
      <alignment horizontal="center" vertical="center"/>
      <protection/>
    </xf>
    <xf numFmtId="188" fontId="241" fillId="26" borderId="17" xfId="34" applyNumberFormat="1" applyFont="1" applyFill="1" applyBorder="1" applyAlignment="1" applyProtection="1">
      <alignment horizontal="center" vertical="center"/>
      <protection/>
    </xf>
    <xf numFmtId="188" fontId="241" fillId="26" borderId="12" xfId="34" applyNumberFormat="1" applyFont="1" applyFill="1" applyBorder="1" applyAlignment="1" applyProtection="1">
      <alignment horizontal="center" vertical="center"/>
      <protection/>
    </xf>
    <xf numFmtId="188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0" fillId="70" borderId="0" xfId="36" applyFont="1" applyFill="1" applyBorder="1">
      <alignment/>
      <protection/>
    </xf>
    <xf numFmtId="0" fontId="300" fillId="70" borderId="0" xfId="36" applyFont="1" applyFill="1" applyBorder="1" applyAlignment="1">
      <alignment/>
      <protection/>
    </xf>
    <xf numFmtId="0" fontId="300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0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1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1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1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1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2" fillId="71" borderId="66" xfId="34" applyFont="1" applyFill="1" applyBorder="1">
      <alignment/>
      <protection/>
    </xf>
    <xf numFmtId="49" fontId="301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3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4" fillId="71" borderId="97" xfId="34" applyNumberFormat="1" applyFont="1" applyFill="1" applyBorder="1" applyAlignment="1">
      <alignment horizontal="center"/>
      <protection/>
    </xf>
    <xf numFmtId="182" fontId="305" fillId="71" borderId="61" xfId="34" applyNumberFormat="1" applyFont="1" applyFill="1" applyBorder="1" applyAlignment="1">
      <alignment horizontal="left"/>
      <protection/>
    </xf>
    <xf numFmtId="182" fontId="306" fillId="71" borderId="61" xfId="34" applyNumberFormat="1" applyFont="1" applyFill="1" applyBorder="1" applyAlignment="1">
      <alignment horizontal="left"/>
      <protection/>
    </xf>
    <xf numFmtId="0" fontId="302" fillId="71" borderId="142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302" fillId="71" borderId="111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02" fillId="71" borderId="64" xfId="34" applyFont="1" applyFill="1" applyBorder="1" applyAlignment="1">
      <alignment horizontal="left"/>
      <protection/>
    </xf>
    <xf numFmtId="0" fontId="300" fillId="0" borderId="0" xfId="36" applyFont="1" applyFill="1" applyBorder="1" quotePrefix="1">
      <alignment/>
      <protection/>
    </xf>
    <xf numFmtId="182" fontId="300" fillId="0" borderId="0" xfId="36" applyNumberFormat="1" applyFont="1" applyFill="1" applyBorder="1">
      <alignment/>
      <protection/>
    </xf>
    <xf numFmtId="0" fontId="302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9" fillId="71" borderId="66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5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2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1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1" fillId="71" borderId="176" xfId="34" applyFont="1" applyFill="1" applyBorder="1" applyAlignment="1">
      <alignment horizontal="left"/>
      <protection/>
    </xf>
    <xf numFmtId="0" fontId="307" fillId="0" borderId="0" xfId="34" applyNumberFormat="1" applyFont="1" applyFill="1" applyBorder="1" applyAlignment="1" quotePrefix="1">
      <alignment horizontal="center"/>
      <protection/>
    </xf>
    <xf numFmtId="0" fontId="311" fillId="0" borderId="0" xfId="34" applyFont="1" applyFill="1" applyBorder="1" applyAlignment="1">
      <alignment horizontal="left"/>
      <protection/>
    </xf>
    <xf numFmtId="0" fontId="300" fillId="70" borderId="12" xfId="36" applyFont="1" applyFill="1" applyBorder="1">
      <alignment/>
      <protection/>
    </xf>
    <xf numFmtId="0" fontId="300" fillId="70" borderId="12" xfId="36" applyFont="1" applyFill="1" applyBorder="1" applyAlignment="1">
      <alignment/>
      <protection/>
    </xf>
    <xf numFmtId="0" fontId="300" fillId="73" borderId="12" xfId="36" applyFont="1" applyFill="1" applyBorder="1">
      <alignment/>
      <protection/>
    </xf>
    <xf numFmtId="0" fontId="300" fillId="0" borderId="12" xfId="36" applyFont="1" applyFill="1" applyBorder="1">
      <alignment/>
      <protection/>
    </xf>
    <xf numFmtId="14" fontId="300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4" fillId="71" borderId="97" xfId="34" applyNumberFormat="1" applyFont="1" applyFill="1" applyBorder="1" applyAlignment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01" fillId="71" borderId="63" xfId="34" applyNumberFormat="1" applyFont="1" applyFill="1" applyBorder="1" applyAlignment="1" quotePrefix="1">
      <alignment horizontal="center"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49" fontId="301" fillId="71" borderId="129" xfId="34" applyNumberFormat="1" applyFont="1" applyFill="1" applyBorder="1" applyAlignment="1" quotePrefix="1">
      <alignment horizontal="center"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296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6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5" fillId="74" borderId="0" xfId="36" applyFill="1">
      <alignment/>
      <protection/>
    </xf>
    <xf numFmtId="0" fontId="215" fillId="74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8" fontId="241" fillId="29" borderId="31" xfId="34" applyNumberFormat="1" applyFont="1" applyFill="1" applyBorder="1" applyAlignment="1" applyProtection="1">
      <alignment horizontal="center" vertical="center"/>
      <protection/>
    </xf>
    <xf numFmtId="188" fontId="241" fillId="4" borderId="97" xfId="34" applyNumberFormat="1" applyFont="1" applyFill="1" applyBorder="1" applyAlignment="1" applyProtection="1">
      <alignment horizontal="center" vertical="center"/>
      <protection/>
    </xf>
    <xf numFmtId="188" fontId="241" fillId="4" borderId="17" xfId="34" applyNumberFormat="1" applyFont="1" applyFill="1" applyBorder="1" applyAlignment="1" applyProtection="1">
      <alignment horizontal="center" vertical="center"/>
      <protection/>
    </xf>
    <xf numFmtId="188" fontId="241" fillId="4" borderId="13" xfId="34" applyNumberFormat="1" applyFont="1" applyFill="1" applyBorder="1" applyAlignment="1" applyProtection="1">
      <alignment horizontal="center" vertical="center"/>
      <protection/>
    </xf>
    <xf numFmtId="188" fontId="241" fillId="5" borderId="97" xfId="34" applyNumberFormat="1" applyFont="1" applyFill="1" applyBorder="1" applyAlignment="1" applyProtection="1">
      <alignment horizontal="center" vertical="center"/>
      <protection/>
    </xf>
    <xf numFmtId="188" fontId="241" fillId="5" borderId="17" xfId="34" applyNumberFormat="1" applyFont="1" applyFill="1" applyBorder="1" applyAlignment="1" applyProtection="1">
      <alignment horizontal="center" vertical="center"/>
      <protection/>
    </xf>
    <xf numFmtId="188" fontId="241" fillId="5" borderId="13" xfId="34" applyNumberFormat="1" applyFont="1" applyFill="1" applyBorder="1" applyAlignment="1" applyProtection="1">
      <alignment horizontal="center" vertical="center"/>
      <protection/>
    </xf>
    <xf numFmtId="188" fontId="241" fillId="45" borderId="124" xfId="34" applyNumberFormat="1" applyFont="1" applyFill="1" applyBorder="1" applyAlignment="1" applyProtection="1">
      <alignment horizontal="center" vertical="center"/>
      <protection/>
    </xf>
    <xf numFmtId="188" fontId="241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1" fillId="45" borderId="23" xfId="34" applyNumberFormat="1" applyFont="1" applyFill="1" applyBorder="1" applyAlignment="1" applyProtection="1">
      <alignment horizontal="center" vertical="center"/>
      <protection/>
    </xf>
    <xf numFmtId="188" fontId="241" fillId="45" borderId="92" xfId="34" applyNumberFormat="1" applyFont="1" applyFill="1" applyBorder="1" applyAlignment="1" applyProtection="1">
      <alignment horizontal="center" vertical="center"/>
      <protection/>
    </xf>
    <xf numFmtId="188" fontId="241" fillId="45" borderId="177" xfId="34" applyNumberFormat="1" applyFont="1" applyFill="1" applyBorder="1" applyAlignment="1" applyProtection="1">
      <alignment horizontal="center" vertical="center"/>
      <protection/>
    </xf>
    <xf numFmtId="188" fontId="241" fillId="53" borderId="180" xfId="34" applyNumberFormat="1" applyFont="1" applyFill="1" applyBorder="1" applyAlignment="1" applyProtection="1">
      <alignment horizontal="center" vertical="center"/>
      <protection/>
    </xf>
    <xf numFmtId="188" fontId="241" fillId="29" borderId="181" xfId="34" applyNumberFormat="1" applyFont="1" applyFill="1" applyBorder="1" applyAlignment="1" applyProtection="1">
      <alignment horizontal="center" vertical="center"/>
      <protection/>
    </xf>
    <xf numFmtId="188" fontId="241" fillId="29" borderId="182" xfId="34" applyNumberFormat="1" applyFont="1" applyFill="1" applyBorder="1" applyAlignment="1" applyProtection="1">
      <alignment horizontal="center" vertical="center"/>
      <protection/>
    </xf>
    <xf numFmtId="188" fontId="241" fillId="53" borderId="183" xfId="34" applyNumberFormat="1" applyFont="1" applyFill="1" applyBorder="1" applyAlignment="1" applyProtection="1">
      <alignment horizontal="center" vertical="center"/>
      <protection/>
    </xf>
    <xf numFmtId="188" fontId="241" fillId="53" borderId="171" xfId="34" applyNumberFormat="1" applyFont="1" applyFill="1" applyBorder="1" applyAlignment="1" applyProtection="1">
      <alignment horizontal="center" vertical="center"/>
      <protection/>
    </xf>
    <xf numFmtId="181" fontId="313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/>
      <protection/>
    </xf>
    <xf numFmtId="38" fontId="314" fillId="45" borderId="47" xfId="47" applyNumberFormat="1" applyFont="1" applyFill="1" applyBorder="1" applyAlignment="1" applyProtection="1">
      <alignment/>
      <protection/>
    </xf>
    <xf numFmtId="38" fontId="314" fillId="45" borderId="147" xfId="47" applyNumberFormat="1" applyFont="1" applyFill="1" applyBorder="1" applyAlignment="1" applyProtection="1">
      <alignment/>
      <protection/>
    </xf>
    <xf numFmtId="197" fontId="315" fillId="45" borderId="66" xfId="3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6" fillId="45" borderId="145" xfId="37" applyNumberFormat="1" applyFont="1" applyFill="1" applyBorder="1" applyAlignment="1" applyProtection="1">
      <alignment/>
      <protection/>
    </xf>
    <xf numFmtId="38" fontId="314" fillId="45" borderId="125" xfId="47" applyNumberFormat="1" applyFont="1" applyFill="1" applyBorder="1" applyAlignment="1" applyProtection="1">
      <alignment horizontal="center"/>
      <protection/>
    </xf>
    <xf numFmtId="38" fontId="314" fillId="45" borderId="47" xfId="47" applyNumberFormat="1" applyFont="1" applyFill="1" applyBorder="1" applyAlignment="1" applyProtection="1">
      <alignment horizontal="center"/>
      <protection/>
    </xf>
    <xf numFmtId="38" fontId="314" fillId="45" borderId="147" xfId="47" applyNumberFormat="1" applyFont="1" applyFill="1" applyBorder="1" applyAlignment="1" applyProtection="1">
      <alignment horizontal="center"/>
      <protection/>
    </xf>
    <xf numFmtId="188" fontId="241" fillId="26" borderId="13" xfId="34" applyNumberFormat="1" applyFont="1" applyFill="1" applyBorder="1" applyAlignment="1" applyProtection="1">
      <alignment horizontal="center" vertical="center"/>
      <protection/>
    </xf>
    <xf numFmtId="188" fontId="241" fillId="45" borderId="60" xfId="34" applyNumberFormat="1" applyFont="1" applyFill="1" applyBorder="1" applyAlignment="1" applyProtection="1">
      <alignment horizontal="center" vertical="center"/>
      <protection/>
    </xf>
    <xf numFmtId="188" fontId="241" fillId="45" borderId="184" xfId="34" applyNumberFormat="1" applyFont="1" applyFill="1" applyBorder="1" applyAlignment="1" applyProtection="1">
      <alignment horizontal="center" vertical="center"/>
      <protection/>
    </xf>
    <xf numFmtId="188" fontId="241" fillId="53" borderId="111" xfId="34" applyNumberFormat="1" applyFont="1" applyFill="1" applyBorder="1" applyAlignment="1" applyProtection="1">
      <alignment horizontal="center" vertical="center"/>
      <protection/>
    </xf>
    <xf numFmtId="188" fontId="241" fillId="53" borderId="146" xfId="34" applyNumberFormat="1" applyFont="1" applyFill="1" applyBorder="1" applyAlignment="1" applyProtection="1">
      <alignment horizontal="center" vertical="center"/>
      <protection/>
    </xf>
    <xf numFmtId="188" fontId="241" fillId="53" borderId="33" xfId="34" applyNumberFormat="1" applyFont="1" applyFill="1" applyBorder="1" applyAlignment="1" applyProtection="1">
      <alignment horizontal="center" vertical="center"/>
      <protection/>
    </xf>
    <xf numFmtId="188" fontId="241" fillId="53" borderId="29" xfId="34" applyNumberFormat="1" applyFont="1" applyFill="1" applyBorder="1" applyAlignment="1" applyProtection="1">
      <alignment horizontal="center" vertical="center"/>
      <protection/>
    </xf>
    <xf numFmtId="188" fontId="241" fillId="53" borderId="178" xfId="34" applyNumberFormat="1" applyFont="1" applyFill="1" applyBorder="1" applyAlignment="1" applyProtection="1">
      <alignment horizontal="center" vertical="center"/>
      <protection/>
    </xf>
    <xf numFmtId="188" fontId="241" fillId="53" borderId="177" xfId="34" applyNumberFormat="1" applyFont="1" applyFill="1" applyBorder="1" applyAlignment="1" applyProtection="1">
      <alignment horizontal="center" vertical="center"/>
      <protection/>
    </xf>
    <xf numFmtId="188" fontId="241" fillId="45" borderId="185" xfId="34" applyNumberFormat="1" applyFont="1" applyFill="1" applyBorder="1" applyAlignment="1" applyProtection="1">
      <alignment horizontal="center" vertical="center"/>
      <protection/>
    </xf>
    <xf numFmtId="188" fontId="241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1" fillId="45" borderId="188" xfId="34" applyNumberFormat="1" applyFont="1" applyFill="1" applyBorder="1" applyAlignment="1" applyProtection="1">
      <alignment horizontal="center" vertical="center"/>
      <protection/>
    </xf>
    <xf numFmtId="188" fontId="241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69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69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6" fontId="232" fillId="39" borderId="109" xfId="77" applyNumberFormat="1" applyFill="1" applyBorder="1" applyAlignment="1" applyProtection="1">
      <alignment horizontal="center" vertical="center"/>
      <protection/>
    </xf>
    <xf numFmtId="186" fontId="277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4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8" fillId="42" borderId="14" xfId="34" applyFont="1" applyFill="1" applyBorder="1" applyAlignment="1" applyProtection="1">
      <alignment horizontal="center" vertical="center"/>
      <protection/>
    </xf>
    <xf numFmtId="0" fontId="298" fillId="42" borderId="15" xfId="34" applyFont="1" applyFill="1" applyBorder="1" applyAlignment="1" applyProtection="1">
      <alignment horizontal="center" vertical="center"/>
      <protection/>
    </xf>
    <xf numFmtId="0" fontId="298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34" applyFont="1" applyFill="1" applyBorder="1" applyAlignment="1" applyProtection="1">
      <alignment horizontal="center" vertical="center"/>
      <protection/>
    </xf>
    <xf numFmtId="0" fontId="319" fillId="52" borderId="15" xfId="34" applyFont="1" applyFill="1" applyBorder="1" applyAlignment="1" applyProtection="1">
      <alignment horizontal="center" vertical="center"/>
      <protection/>
    </xf>
    <xf numFmtId="0" fontId="319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7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7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7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7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7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7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7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7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59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59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2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2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>
      <alignment horizontal="left" vertical="center"/>
      <protection/>
    </xf>
    <xf numFmtId="0" fontId="262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2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2" fillId="4" borderId="25" xfId="42" applyFont="1" applyFill="1" applyBorder="1" applyAlignment="1" quotePrefix="1">
      <alignment horizontal="left" vertical="center"/>
      <protection/>
    </xf>
    <xf numFmtId="0" fontId="262" fillId="4" borderId="21" xfId="42" applyFont="1" applyFill="1" applyBorder="1" applyAlignment="1">
      <alignment vertical="center" wrapText="1"/>
      <protection/>
    </xf>
    <xf numFmtId="0" fontId="262" fillId="4" borderId="97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2" fillId="4" borderId="25" xfId="34" applyFont="1" applyFill="1" applyBorder="1" applyAlignment="1">
      <alignment horizontal="left" vertical="center"/>
      <protection/>
    </xf>
    <xf numFmtId="0" fontId="262" fillId="4" borderId="25" xfId="34" applyFont="1" applyFill="1" applyBorder="1" applyAlignment="1">
      <alignment horizontal="left" vertical="center" wrapText="1"/>
      <protection/>
    </xf>
    <xf numFmtId="0" fontId="262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 t="str">
        <f>+OTCHET!B9</f>
        <v>Твърдица</v>
      </c>
      <c r="C2" s="1664"/>
      <c r="D2" s="1665"/>
      <c r="E2" s="1008"/>
      <c r="F2" s="1009">
        <f>+OTCHET!H9</f>
        <v>0</v>
      </c>
      <c r="G2" s="1010" t="str">
        <f>+OTCHET!F12</f>
        <v>7004</v>
      </c>
      <c r="H2" s="1011"/>
      <c r="I2" s="1666">
        <f>+OTCHET!H607</f>
        <v>0</v>
      </c>
      <c r="J2" s="1667"/>
      <c r="K2" s="1002"/>
      <c r="L2" s="1668">
        <f>OTCHET!H605</f>
        <v>0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978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3" t="s">
        <v>981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674">
        <f>+Q4</f>
        <v>2023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5" t="s">
        <v>960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678" t="s">
        <v>961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998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4" t="s">
        <v>1979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7" t="s">
        <v>1978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4" t="s">
        <v>1000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1002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1004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4" t="s">
        <v>1006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1008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1010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0" t="s">
        <v>1980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1013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1" t="s">
        <v>1016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4" t="s">
        <v>1018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0" t="s">
        <v>1020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1022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3" t="s">
        <v>1029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6" t="s">
        <v>1031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9" t="s">
        <v>1033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2" t="s">
        <v>1035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3" t="s">
        <v>1037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1" t="s">
        <v>1040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4" t="s">
        <v>1042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4" t="s">
        <v>1043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0" t="s">
        <v>1045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1047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1049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80060</v>
      </c>
      <c r="K51" s="1084"/>
      <c r="L51" s="1091">
        <f>+IF($P$2=33,$Q51,0)</f>
        <v>0</v>
      </c>
      <c r="M51" s="1084"/>
      <c r="N51" s="1121">
        <f>+ROUND(+G51+J51+L51,0)</f>
        <v>80060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80060</v>
      </c>
      <c r="R51" s="1035"/>
      <c r="S51" s="1681" t="s">
        <v>1053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275</v>
      </c>
      <c r="K52" s="1084"/>
      <c r="L52" s="1109">
        <f>+IF($P$2=33,$Q52,0)</f>
        <v>0</v>
      </c>
      <c r="M52" s="1084"/>
      <c r="N52" s="1110">
        <f>+ROUND(+G52+J52+L52,0)</f>
        <v>275</v>
      </c>
      <c r="O52" s="1086"/>
      <c r="P52" s="1108">
        <f>+ROUND(+SUM(OTCHET!E217:E219),0)</f>
        <v>0</v>
      </c>
      <c r="Q52" s="1109">
        <f>+ROUND(+SUM(OTCHET!L217:L219),0)</f>
        <v>275</v>
      </c>
      <c r="R52" s="1035"/>
      <c r="S52" s="1684" t="s">
        <v>1055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1057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91828</v>
      </c>
      <c r="K54" s="1084"/>
      <c r="L54" s="1109">
        <f>+IF($P$2=33,$Q54,0)</f>
        <v>0</v>
      </c>
      <c r="M54" s="1084"/>
      <c r="N54" s="1110">
        <f>+ROUND(+G54+J54+L54,0)</f>
        <v>91828</v>
      </c>
      <c r="O54" s="1086"/>
      <c r="P54" s="1108">
        <f>+ROUND(OTCHET!E187+OTCHET!E190,0)</f>
        <v>0</v>
      </c>
      <c r="Q54" s="1109">
        <f>+ROUND(OTCHET!L187+OTCHET!L190,0)</f>
        <v>91828</v>
      </c>
      <c r="R54" s="1035"/>
      <c r="S54" s="1684" t="s">
        <v>1059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17927</v>
      </c>
      <c r="K55" s="1084"/>
      <c r="L55" s="1109">
        <f>+IF($P$2=33,$Q55,0)</f>
        <v>0</v>
      </c>
      <c r="M55" s="1084"/>
      <c r="N55" s="1110">
        <f>+ROUND(+G55+J55+L55,0)</f>
        <v>17927</v>
      </c>
      <c r="O55" s="1086"/>
      <c r="P55" s="1108">
        <f>+ROUND(OTCHET!E196+OTCHET!E204,0)</f>
        <v>0</v>
      </c>
      <c r="Q55" s="1109">
        <f>+ROUND(OTCHET!L196+OTCHET!L204,0)</f>
        <v>17927</v>
      </c>
      <c r="R55" s="1035"/>
      <c r="S55" s="1690" t="s">
        <v>1061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190090</v>
      </c>
      <c r="K56" s="1084"/>
      <c r="L56" s="1197">
        <f>+ROUND(+SUM(L51:L55),0)</f>
        <v>0</v>
      </c>
      <c r="M56" s="1084"/>
      <c r="N56" s="1198">
        <f>+ROUND(+SUM(N51:N55),0)</f>
        <v>190090</v>
      </c>
      <c r="O56" s="1086"/>
      <c r="P56" s="1196">
        <f>+ROUND(+SUM(P51:P55),0)</f>
        <v>0</v>
      </c>
      <c r="Q56" s="1197">
        <f>+ROUND(+SUM(Q51:Q55),0)</f>
        <v>190090</v>
      </c>
      <c r="R56" s="1035"/>
      <c r="S56" s="1693" t="s">
        <v>1063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1066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84" t="s">
        <v>1068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1070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1072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93" t="s">
        <v>1076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1079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1081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1083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1086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1088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1090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1" t="s">
        <v>1093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1095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3" t="s">
        <v>1097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579561</v>
      </c>
      <c r="K77" s="1084"/>
      <c r="L77" s="1222">
        <f>+ROUND(L56+L63+L67+L71+L75,0)</f>
        <v>0</v>
      </c>
      <c r="M77" s="1084"/>
      <c r="N77" s="1223">
        <f>+ROUND(N56+N63+N67+N71+N75,0)</f>
        <v>579561</v>
      </c>
      <c r="O77" s="1086"/>
      <c r="P77" s="1220">
        <f>+ROUND(P56+P63+P67+P71+P75,0)</f>
        <v>0</v>
      </c>
      <c r="Q77" s="1221">
        <f>+ROUND(Q56+Q63+Q67+Q71+Q75,0)</f>
        <v>579561</v>
      </c>
      <c r="R77" s="1035"/>
      <c r="S77" s="1708" t="s">
        <v>1099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1" t="s">
        <v>1102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4" t="s">
        <v>1104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1" t="s">
        <v>1106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10272</v>
      </c>
      <c r="K83" s="1084"/>
      <c r="L83" s="1244">
        <f>+ROUND(L48,0)-ROUND(L77,0)+ROUND(L81,0)</f>
        <v>0</v>
      </c>
      <c r="M83" s="1084"/>
      <c r="N83" s="1245">
        <f>+ROUND(N48,0)-ROUND(N77,0)+ROUND(N81,0)</f>
        <v>10272</v>
      </c>
      <c r="O83" s="1246"/>
      <c r="P83" s="1243">
        <f>+ROUND(P48,0)-ROUND(P77,0)+ROUND(P81,0)</f>
        <v>0</v>
      </c>
      <c r="Q83" s="1244">
        <f>+ROUND(Q48,0)-ROUND(Q77,0)+ROUND(Q81,0)</f>
        <v>10272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-10272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-10272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-10272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1112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1114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1116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1119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1121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1123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1125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1127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1130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1132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1134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1136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1140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1142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1144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1147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1149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1151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1154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1156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1158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1161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1163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1165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1167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1170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-10272</v>
      </c>
      <c r="K123" s="1084"/>
      <c r="L123" s="1109">
        <f>+IF($P$2=33,$Q123,0)</f>
        <v>0</v>
      </c>
      <c r="M123" s="1084"/>
      <c r="N123" s="1110">
        <f>+ROUND(+G123+J123+L123,0)</f>
        <v>-10272</v>
      </c>
      <c r="O123" s="1086"/>
      <c r="P123" s="1108">
        <f>+ROUND(OTCHET!E524,0)</f>
        <v>0</v>
      </c>
      <c r="Q123" s="1109">
        <f>+ROUND(OTCHET!L524,0)</f>
        <v>-10272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1174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1176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-10272</v>
      </c>
      <c r="K127" s="1084"/>
      <c r="L127" s="1231">
        <f>+ROUND(+SUM(L122:L126),0)</f>
        <v>0</v>
      </c>
      <c r="M127" s="1084"/>
      <c r="N127" s="1232">
        <f>+ROUND(+SUM(N122:N126),0)</f>
        <v>-10272</v>
      </c>
      <c r="O127" s="1086"/>
      <c r="P127" s="1230">
        <f>+ROUND(+SUM(P122:P126),0)</f>
        <v>0</v>
      </c>
      <c r="Q127" s="1231">
        <f>+ROUND(+SUM(Q122:Q126),0)</f>
        <v>-10272</v>
      </c>
      <c r="R127" s="1035"/>
      <c r="S127" s="1711" t="s">
        <v>1178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1181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1183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1185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1187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24.10.2023 г.</v>
      </c>
      <c r="D134" s="1236" t="s">
        <v>1189</v>
      </c>
      <c r="E134" s="1008"/>
      <c r="F134" s="1730"/>
      <c r="G134" s="1730"/>
      <c r="H134" s="1008"/>
      <c r="I134" s="1293" t="s">
        <v>1190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56" sqref="E56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5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8"/>
      <c r="F18" s="1740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579561</v>
      </c>
      <c r="G38" s="837">
        <f>G39+G43+G44+G46+SUM(G48:G52)+G55</f>
        <v>579561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109755</v>
      </c>
      <c r="G39" s="800">
        <f>SUM(G40:G42)</f>
        <v>109755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19807</v>
      </c>
      <c r="G40" s="863">
        <f>OTCHET!I187</f>
        <v>19807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72021</v>
      </c>
      <c r="G41" s="1624">
        <f>OTCHET!I190</f>
        <v>72021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17927</v>
      </c>
      <c r="G42" s="1624">
        <f>+OTCHET!I196+OTCHET!I204</f>
        <v>17927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80335</v>
      </c>
      <c r="G43" s="805">
        <f>+OTCHET!I205+OTCHET!I223+OTCHET!I271</f>
        <v>80335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10272</v>
      </c>
      <c r="G64" s="917">
        <f>+G22-G38+G56-G63</f>
        <v>48529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-10272</v>
      </c>
      <c r="G66" s="927">
        <f>SUM(+G68+G76+G77+G84+G85+G86+G89+G90+G91+G92+G93+G94+G95)</f>
        <v>-10272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-10272</v>
      </c>
      <c r="G86" s="895">
        <f>+G87+G88</f>
        <v>-10272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-10272</v>
      </c>
      <c r="G88" s="953">
        <f>+OTCHET!I521+OTCHET!I524+OTCHET!I544</f>
        <v>-10272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1" t="s">
        <v>972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 t="str">
        <f>+OTCHET!D603</f>
        <v>Ирина Азманова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 t="str">
        <f>+OTCHET!G600</f>
        <v>Диана Димитрова</v>
      </c>
      <c r="F114" s="1742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1851</v>
      </c>
      <c r="C9" s="1772"/>
      <c r="D9" s="1773"/>
      <c r="E9" s="115">
        <f>DATE($C$3,1,1)</f>
        <v>44927</v>
      </c>
      <c r="F9" s="116">
        <v>45199</v>
      </c>
      <c r="G9" s="113"/>
      <c r="H9" s="1404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41" t="s">
        <v>954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Твърдица</v>
      </c>
      <c r="C12" s="1775"/>
      <c r="D12" s="1776"/>
      <c r="E12" s="118" t="s">
        <v>948</v>
      </c>
      <c r="F12" s="1571" t="s">
        <v>1531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3" t="str">
        <f>CONCATENATE("Уточнен план ",$C$3," - ПРИХОДИ")</f>
        <v>Уточнен план 2023 - ПРИХОДИ</v>
      </c>
      <c r="F19" s="1744"/>
      <c r="G19" s="1744"/>
      <c r="H19" s="1745"/>
      <c r="I19" s="1749" t="str">
        <f>CONCATENATE("Отчет ",$C$3," - ПРИХОДИ")</f>
        <v>Отчет 2023 - ПРИХОДИ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462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464</v>
      </c>
      <c r="D28" s="176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Твърдица</v>
      </c>
      <c r="C176" s="1784"/>
      <c r="D176" s="1785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Твърдица</v>
      </c>
      <c r="C179" s="1775"/>
      <c r="D179" s="1776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3" t="str">
        <f>CONCATENATE("Уточнен план ",$C$3," - РАЗХОДИ - рекапитулация")</f>
        <v>Уточнен план 2023 - РАЗХОДИ - рекапитулация</v>
      </c>
      <c r="F183" s="1744"/>
      <c r="G183" s="1744"/>
      <c r="H183" s="1745"/>
      <c r="I183" s="1752" t="str">
        <f>CONCATENATE("Отчет ",$C$3," - РАЗХОДИ - рекапитулация")</f>
        <v>Отчет 2023 -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730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19807</v>
      </c>
      <c r="J187" s="275">
        <f t="shared" si="41"/>
        <v>0</v>
      </c>
      <c r="K187" s="276">
        <f t="shared" si="41"/>
        <v>0</v>
      </c>
      <c r="L187" s="273">
        <f t="shared" si="41"/>
        <v>19807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19807</v>
      </c>
      <c r="J188" s="283">
        <f t="shared" si="43"/>
        <v>0</v>
      </c>
      <c r="K188" s="284">
        <f t="shared" si="43"/>
        <v>0</v>
      </c>
      <c r="L188" s="281">
        <f t="shared" si="43"/>
        <v>19807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733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72021</v>
      </c>
      <c r="J190" s="275">
        <f t="shared" si="44"/>
        <v>0</v>
      </c>
      <c r="K190" s="276">
        <f t="shared" si="44"/>
        <v>0</v>
      </c>
      <c r="L190" s="273">
        <f t="shared" si="44"/>
        <v>72021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65658</v>
      </c>
      <c r="J191" s="283">
        <f t="shared" si="45"/>
        <v>0</v>
      </c>
      <c r="K191" s="284">
        <f t="shared" si="45"/>
        <v>0</v>
      </c>
      <c r="L191" s="281">
        <f t="shared" si="45"/>
        <v>65658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6363</v>
      </c>
      <c r="J192" s="297">
        <f t="shared" si="45"/>
        <v>0</v>
      </c>
      <c r="K192" s="298">
        <f t="shared" si="45"/>
        <v>0</v>
      </c>
      <c r="L192" s="295">
        <f t="shared" si="45"/>
        <v>6363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189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17927</v>
      </c>
      <c r="J196" s="275">
        <f t="shared" si="46"/>
        <v>0</v>
      </c>
      <c r="K196" s="276">
        <f t="shared" si="46"/>
        <v>0</v>
      </c>
      <c r="L196" s="273">
        <f t="shared" si="46"/>
        <v>17927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10152</v>
      </c>
      <c r="J197" s="283">
        <f t="shared" si="47"/>
        <v>0</v>
      </c>
      <c r="K197" s="284">
        <f t="shared" si="47"/>
        <v>0</v>
      </c>
      <c r="L197" s="281">
        <f t="shared" si="47"/>
        <v>10152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720</v>
      </c>
      <c r="J198" s="297">
        <f t="shared" si="47"/>
        <v>0</v>
      </c>
      <c r="K198" s="298">
        <f t="shared" si="47"/>
        <v>0</v>
      </c>
      <c r="L198" s="295">
        <f t="shared" si="47"/>
        <v>720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4529</v>
      </c>
      <c r="J200" s="297">
        <f t="shared" si="47"/>
        <v>0</v>
      </c>
      <c r="K200" s="298">
        <f t="shared" si="47"/>
        <v>0</v>
      </c>
      <c r="L200" s="295">
        <f t="shared" si="47"/>
        <v>4529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2526</v>
      </c>
      <c r="J201" s="297">
        <f t="shared" si="47"/>
        <v>0</v>
      </c>
      <c r="K201" s="298">
        <f t="shared" si="47"/>
        <v>0</v>
      </c>
      <c r="L201" s="295">
        <f t="shared" si="47"/>
        <v>2526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194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195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80335</v>
      </c>
      <c r="J205" s="275">
        <f t="shared" si="48"/>
        <v>0</v>
      </c>
      <c r="K205" s="276">
        <f t="shared" si="48"/>
        <v>0</v>
      </c>
      <c r="L205" s="310">
        <f t="shared" si="48"/>
        <v>80335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5439</v>
      </c>
      <c r="J210" s="297">
        <f t="shared" si="49"/>
        <v>0</v>
      </c>
      <c r="K210" s="298">
        <f t="shared" si="49"/>
        <v>0</v>
      </c>
      <c r="L210" s="295">
        <f t="shared" si="49"/>
        <v>5439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1909</v>
      </c>
      <c r="J211" s="316">
        <f t="shared" si="49"/>
        <v>0</v>
      </c>
      <c r="K211" s="317">
        <f t="shared" si="49"/>
        <v>0</v>
      </c>
      <c r="L211" s="314">
        <f t="shared" si="49"/>
        <v>1909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64422</v>
      </c>
      <c r="J212" s="322">
        <f t="shared" si="49"/>
        <v>0</v>
      </c>
      <c r="K212" s="323">
        <f t="shared" si="49"/>
        <v>0</v>
      </c>
      <c r="L212" s="320">
        <f t="shared" si="49"/>
        <v>64422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4828</v>
      </c>
      <c r="J213" s="328">
        <f t="shared" si="49"/>
        <v>0</v>
      </c>
      <c r="K213" s="329">
        <f t="shared" si="49"/>
        <v>0</v>
      </c>
      <c r="L213" s="326">
        <f t="shared" si="49"/>
        <v>4828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275</v>
      </c>
      <c r="J217" s="322">
        <f t="shared" si="50"/>
        <v>0</v>
      </c>
      <c r="K217" s="323">
        <f t="shared" si="50"/>
        <v>0</v>
      </c>
      <c r="L217" s="320">
        <f t="shared" si="50"/>
        <v>275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266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708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214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216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217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218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1643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219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228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229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230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231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1648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1645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1646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241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267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242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2" t="s">
        <v>243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614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672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673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900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8" t="s">
        <v>681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579561</v>
      </c>
      <c r="J301" s="397">
        <f t="shared" si="77"/>
        <v>0</v>
      </c>
      <c r="K301" s="398">
        <f t="shared" si="77"/>
        <v>0</v>
      </c>
      <c r="L301" s="395">
        <f t="shared" si="77"/>
        <v>579561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Твърдица</v>
      </c>
      <c r="C350" s="1784"/>
      <c r="D350" s="1785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Твърдица</v>
      </c>
      <c r="C353" s="1775"/>
      <c r="D353" s="1776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5" t="str">
        <f>CONCATENATE("Уточнен план ",$C$3," - ТРАНСФЕРИ и ВРЕМ. БЕЗЛ. ЗАЕМИ")</f>
        <v>Уточнен план 2023 - ТРАНСФЕРИ и ВРЕМ. БЕЗЛ. ЗАЕМИ</v>
      </c>
      <c r="F357" s="1756"/>
      <c r="G357" s="1756"/>
      <c r="H357" s="1757"/>
      <c r="I357" s="1758" t="str">
        <f>CONCATENATE("Отчет ",$C$3," - ТРАНСФЕРИ и ВРЕМ. БЕЗЛ. ЗАЕМИ")</f>
        <v>Отчет 2023 - ТРАНСФЕРИ и ВРЕМ. БЕЗЛ. ЗАЕМИ</v>
      </c>
      <c r="J357" s="1759"/>
      <c r="K357" s="1759"/>
      <c r="L357" s="176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270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281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303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247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248</v>
      </c>
      <c r="D391" s="1805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250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251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2"/>
      <c r="G400" s="1602"/>
      <c r="H400" s="154">
        <v>0</v>
      </c>
      <c r="I400" s="152">
        <v>628090</v>
      </c>
      <c r="J400" s="1602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907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667</v>
      </c>
      <c r="D405" s="180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668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686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254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753</v>
      </c>
      <c r="D422" s="180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691</v>
      </c>
      <c r="D423" s="180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255</v>
      </c>
      <c r="D424" s="1805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670</v>
      </c>
      <c r="D425" s="180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911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3" t="str">
        <f>$B$9</f>
        <v>Твърдица</v>
      </c>
      <c r="C435" s="1784"/>
      <c r="D435" s="1785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4" t="str">
        <f>$B$12</f>
        <v>Твърдица</v>
      </c>
      <c r="C438" s="1775"/>
      <c r="D438" s="1776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3" t="str">
        <f>CONCATENATE("Уточнен план ",$C$3," - БЮДЖЕТНО САЛДО")</f>
        <v>Уточнен план 2023 - БЮДЖЕТНО САЛДО</v>
      </c>
      <c r="F442" s="1744"/>
      <c r="G442" s="1744"/>
      <c r="H442" s="1745"/>
      <c r="I442" s="1761" t="str">
        <f>CONCATENATE("Отчет ",$C$3," - БЮДЖЕТНО САЛДО")</f>
        <v>Отчет 2023 - БЮДЖЕТНО САЛДО</v>
      </c>
      <c r="J442" s="1762"/>
      <c r="K442" s="1762"/>
      <c r="L442" s="176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48529</v>
      </c>
      <c r="J445" s="539">
        <f t="shared" si="99"/>
        <v>-38257</v>
      </c>
      <c r="K445" s="540">
        <f t="shared" si="99"/>
        <v>0</v>
      </c>
      <c r="L445" s="541">
        <f t="shared" si="99"/>
        <v>10272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-10272</v>
      </c>
      <c r="J446" s="546">
        <f t="shared" si="100"/>
        <v>0</v>
      </c>
      <c r="K446" s="547">
        <f t="shared" si="100"/>
        <v>0</v>
      </c>
      <c r="L446" s="548">
        <f>+L597</f>
        <v>-10272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3" t="str">
        <f>$B$9</f>
        <v>Твърдица</v>
      </c>
      <c r="C451" s="1784"/>
      <c r="D451" s="1785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4" t="str">
        <f>$B$12</f>
        <v>Твърдица</v>
      </c>
      <c r="C454" s="1775"/>
      <c r="D454" s="1776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6" t="str">
        <f>CONCATENATE("Уточнен план ",$C$3," - ФИНАНСИРАНЕ НА БЮДЖЕТНО САЛДО")</f>
        <v>Уточнен план 2023 - ФИНАНСИРАНЕ НА БЮДЖЕТНО САЛДО</v>
      </c>
      <c r="F458" s="1747"/>
      <c r="G458" s="1747"/>
      <c r="H458" s="1748"/>
      <c r="I458" s="1764" t="str">
        <f>CONCATENATE("Отчет ",$C$3," -ФИНАНСИРАНЕ НА БЮДЖЕТНО САЛДО")</f>
        <v>Отчет 2023 -ФИНАНСИРАНЕ НА БЮДЖЕТНО САЛДО</v>
      </c>
      <c r="J458" s="1765"/>
      <c r="K458" s="1765"/>
      <c r="L458" s="176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754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757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1941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760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767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915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920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921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922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923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-10272</v>
      </c>
      <c r="J524" s="569">
        <f t="shared" si="120"/>
        <v>0</v>
      </c>
      <c r="K524" s="570">
        <f t="shared" si="120"/>
        <v>0</v>
      </c>
      <c r="L524" s="567">
        <f t="shared" si="120"/>
        <v>-10272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-10272</v>
      </c>
      <c r="J527" s="159"/>
      <c r="K527" s="574">
        <v>0</v>
      </c>
      <c r="L527" s="1376">
        <f t="shared" si="116"/>
        <v>-10272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307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925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926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927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928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937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942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819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-10272</v>
      </c>
      <c r="J597" s="653">
        <f t="shared" si="133"/>
        <v>0</v>
      </c>
      <c r="K597" s="655">
        <f t="shared" si="133"/>
        <v>0</v>
      </c>
      <c r="L597" s="651">
        <f t="shared" si="133"/>
        <v>-10272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3" t="s">
        <v>2084</v>
      </c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863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5" t="s">
        <v>2085</v>
      </c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866</v>
      </c>
      <c r="C604" s="1832"/>
      <c r="D604" s="661" t="s">
        <v>867</v>
      </c>
      <c r="E604" s="662"/>
      <c r="F604" s="663"/>
      <c r="G604" s="1833" t="s">
        <v>863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 t="s">
        <v>2086</v>
      </c>
      <c r="C605" s="1835"/>
      <c r="D605" s="664" t="s">
        <v>868</v>
      </c>
      <c r="E605" s="665" t="s">
        <v>2087</v>
      </c>
      <c r="F605" s="666"/>
      <c r="G605" s="667" t="s">
        <v>869</v>
      </c>
      <c r="H605" s="1836"/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ДМП</v>
      </c>
      <c r="C621" s="1814"/>
      <c r="D621" s="1814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Твърдица</v>
      </c>
      <c r="C623" s="1784"/>
      <c r="D623" s="1785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6" t="str">
        <f>$B$12</f>
        <v>Твърдица</v>
      </c>
      <c r="C626" s="1847"/>
      <c r="D626" s="1848"/>
      <c r="E626" s="410" t="s">
        <v>876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3" t="str">
        <f>CONCATENATE("Уточнен план ",$C$3)</f>
        <v>Уточнен план 2023</v>
      </c>
      <c r="F630" s="1744"/>
      <c r="G630" s="1744"/>
      <c r="H630" s="1745"/>
      <c r="I630" s="1752" t="str">
        <f>CONCATENATE("Отчет ",$C$3)</f>
        <v>Отчет 2023</v>
      </c>
      <c r="J630" s="1753"/>
      <c r="K630" s="1753"/>
      <c r="L630" s="1754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7" t="s">
        <v>2048</v>
      </c>
      <c r="C634" s="1447">
        <f>VLOOKUP(D635,EBK_DEIN2,2,FALSE)</f>
        <v>4469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81" t="s">
        <v>730</v>
      </c>
      <c r="D637" s="178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19807</v>
      </c>
      <c r="J637" s="275">
        <f t="shared" si="134"/>
        <v>0</v>
      </c>
      <c r="K637" s="276">
        <f t="shared" si="134"/>
        <v>0</v>
      </c>
      <c r="L637" s="273">
        <f t="shared" si="134"/>
        <v>19807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>
        <v>0</v>
      </c>
      <c r="G638" s="153"/>
      <c r="H638" s="1407"/>
      <c r="I638" s="152">
        <v>19807</v>
      </c>
      <c r="J638" s="153"/>
      <c r="K638" s="1407"/>
      <c r="L638" s="281">
        <f>I638+J638+K638</f>
        <v>19807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7" t="s">
        <v>733</v>
      </c>
      <c r="D640" s="177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72021</v>
      </c>
      <c r="J640" s="275">
        <f t="shared" si="136"/>
        <v>0</v>
      </c>
      <c r="K640" s="276">
        <f t="shared" si="136"/>
        <v>0</v>
      </c>
      <c r="L640" s="273">
        <f t="shared" si="136"/>
        <v>72021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>
        <v>0</v>
      </c>
      <c r="G641" s="153"/>
      <c r="H641" s="1407"/>
      <c r="I641" s="152">
        <v>65658</v>
      </c>
      <c r="J641" s="153"/>
      <c r="K641" s="1407"/>
      <c r="L641" s="281">
        <f>I641+J641+K641</f>
        <v>65658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>
        <v>0</v>
      </c>
      <c r="G642" s="159"/>
      <c r="H642" s="1409"/>
      <c r="I642" s="158">
        <v>6363</v>
      </c>
      <c r="J642" s="159"/>
      <c r="K642" s="1409"/>
      <c r="L642" s="295">
        <f>I642+J642+K642</f>
        <v>6363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9" t="s">
        <v>189</v>
      </c>
      <c r="D646" s="178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17927</v>
      </c>
      <c r="J646" s="275">
        <f t="shared" si="137"/>
        <v>0</v>
      </c>
      <c r="K646" s="276">
        <f t="shared" si="137"/>
        <v>0</v>
      </c>
      <c r="L646" s="273">
        <f t="shared" si="137"/>
        <v>17927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10152</v>
      </c>
      <c r="J647" s="153"/>
      <c r="K647" s="1407"/>
      <c r="L647" s="281">
        <f aca="true" t="shared" si="139" ref="L647:L654">I647+J647+K647</f>
        <v>10152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>
        <v>0</v>
      </c>
      <c r="G648" s="159"/>
      <c r="H648" s="1409"/>
      <c r="I648" s="158">
        <v>720</v>
      </c>
      <c r="J648" s="159"/>
      <c r="K648" s="1409"/>
      <c r="L648" s="295">
        <f t="shared" si="139"/>
        <v>720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4529</v>
      </c>
      <c r="J650" s="159"/>
      <c r="K650" s="1409"/>
      <c r="L650" s="295">
        <f t="shared" si="139"/>
        <v>4529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2526</v>
      </c>
      <c r="J651" s="159"/>
      <c r="K651" s="1409"/>
      <c r="L651" s="295">
        <f t="shared" si="139"/>
        <v>2526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90" t="s">
        <v>194</v>
      </c>
      <c r="D654" s="179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7" t="s">
        <v>195</v>
      </c>
      <c r="D655" s="177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80335</v>
      </c>
      <c r="J655" s="275">
        <f t="shared" si="140"/>
        <v>0</v>
      </c>
      <c r="K655" s="276">
        <f t="shared" si="140"/>
        <v>0</v>
      </c>
      <c r="L655" s="310">
        <f t="shared" si="140"/>
        <v>80335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5439</v>
      </c>
      <c r="J660" s="159"/>
      <c r="K660" s="1409"/>
      <c r="L660" s="295">
        <f t="shared" si="142"/>
        <v>5439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1909</v>
      </c>
      <c r="J661" s="165"/>
      <c r="K661" s="1408"/>
      <c r="L661" s="314">
        <f t="shared" si="142"/>
        <v>1909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64422</v>
      </c>
      <c r="J662" s="451"/>
      <c r="K662" s="1417"/>
      <c r="L662" s="320">
        <f t="shared" si="142"/>
        <v>64422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>
        <v>4828</v>
      </c>
      <c r="J663" s="446"/>
      <c r="K663" s="1414"/>
      <c r="L663" s="326">
        <f t="shared" si="142"/>
        <v>4828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275</v>
      </c>
      <c r="J667" s="451"/>
      <c r="K667" s="1417"/>
      <c r="L667" s="320">
        <f t="shared" si="142"/>
        <v>275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8" t="s">
        <v>266</v>
      </c>
      <c r="D673" s="178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8" t="s">
        <v>708</v>
      </c>
      <c r="D677" s="178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8" t="s">
        <v>214</v>
      </c>
      <c r="D683" s="178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8" t="s">
        <v>216</v>
      </c>
      <c r="D686" s="1789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4" t="s">
        <v>217</v>
      </c>
      <c r="D687" s="179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4" t="s">
        <v>218</v>
      </c>
      <c r="D688" s="179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4" t="s">
        <v>1647</v>
      </c>
      <c r="D689" s="179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8" t="s">
        <v>219</v>
      </c>
      <c r="D690" s="178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8" t="s">
        <v>228</v>
      </c>
      <c r="D705" s="1789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8" t="s">
        <v>229</v>
      </c>
      <c r="D706" s="1789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8" t="s">
        <v>230</v>
      </c>
      <c r="D707" s="1789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8" t="s">
        <v>231</v>
      </c>
      <c r="D708" s="178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8" t="s">
        <v>1648</v>
      </c>
      <c r="D715" s="178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8" t="s">
        <v>1645</v>
      </c>
      <c r="D719" s="1789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8" t="s">
        <v>1646</v>
      </c>
      <c r="D720" s="1789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94" t="s">
        <v>241</v>
      </c>
      <c r="D721" s="179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8" t="s">
        <v>267</v>
      </c>
      <c r="D722" s="178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2" t="s">
        <v>242</v>
      </c>
      <c r="D725" s="1793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92" t="s">
        <v>243</v>
      </c>
      <c r="D726" s="179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2" t="s">
        <v>614</v>
      </c>
      <c r="D734" s="179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2" t="s">
        <v>672</v>
      </c>
      <c r="D737" s="179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8" t="s">
        <v>673</v>
      </c>
      <c r="D738" s="178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6" t="s">
        <v>900</v>
      </c>
      <c r="D743" s="1797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8" t="s">
        <v>681</v>
      </c>
      <c r="D747" s="1799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8" t="s">
        <v>681</v>
      </c>
      <c r="D748" s="1799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579561</v>
      </c>
      <c r="J752" s="397">
        <f t="shared" si="169"/>
        <v>0</v>
      </c>
      <c r="K752" s="398">
        <f t="shared" si="169"/>
        <v>0</v>
      </c>
      <c r="L752" s="395">
        <f t="shared" si="169"/>
        <v>579561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8" t="s">
        <v>629</v>
      </c>
      <c r="B283" s="1659"/>
      <c r="C283" s="1659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3" t="str">
        <f>CONCATENATE("Уточнен план ",$C$3)</f>
        <v>Уточнен план </v>
      </c>
      <c r="M23" s="1744"/>
      <c r="N23" s="1744"/>
      <c r="O23" s="1745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730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733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189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194</v>
      </c>
      <c r="K47" s="179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195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266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708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214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216</v>
      </c>
      <c r="K79" s="178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217</v>
      </c>
      <c r="K80" s="179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218</v>
      </c>
      <c r="K81" s="179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1647</v>
      </c>
      <c r="K82" s="179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219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228</v>
      </c>
      <c r="K98" s="178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229</v>
      </c>
      <c r="K99" s="178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230</v>
      </c>
      <c r="K100" s="178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231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1648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1645</v>
      </c>
      <c r="K112" s="178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1646</v>
      </c>
      <c r="K113" s="178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241</v>
      </c>
      <c r="K114" s="179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267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242</v>
      </c>
      <c r="K118" s="179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243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614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672</v>
      </c>
      <c r="K130" s="179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673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900</v>
      </c>
      <c r="K136" s="179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8" t="s">
        <v>681</v>
      </c>
      <c r="K140" s="179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681</v>
      </c>
      <c r="K141" s="179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2023-10-24T04:43:35Z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